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style1.xml" ContentType="application/vnd.ms-office.chartstyle+xml"/>
  <Override PartName="/xl/charts/colors1.xml" ContentType="application/vnd.ms-office.chartcolorstyle+xml"/>
  <Override PartName="/xl/charts/style2.xml" ContentType="application/vnd.ms-office.chartstyle+xml"/>
  <Override PartName="/xl/charts/colors2.xml" ContentType="application/vnd.ms-office.chartcolorstyle+xml"/>
  <Override PartName="/xl/charts/style3.xml" ContentType="application/vnd.ms-office.chartstyle+xml"/>
  <Override PartName="/xl/charts/colors3.xml" ContentType="application/vnd.ms-office.chartcolorstyl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6423"/>
  <workbookPr autoCompressPictures="0"/>
  <bookViews>
    <workbookView xWindow="0" yWindow="0" windowWidth="25600" windowHeight="13820"/>
  </bookViews>
  <sheets>
    <sheet name="Inicio" sheetId="1" r:id="rId1"/>
    <sheet name="Tutorial" sheetId="2" r:id="rId2"/>
    <sheet name="Met. Teoricos" sheetId="3" r:id="rId3"/>
    <sheet name="A" sheetId="7" state="hidden" r:id="rId4"/>
    <sheet name="SemiEmp" sheetId="4" r:id="rId5"/>
    <sheet name="Prova de Carga" sheetId="5" r:id="rId6"/>
    <sheet name="Gráficos" sheetId="6" r:id="rId7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" i="5" l="1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5" i="5"/>
  <c r="A15" i="3"/>
  <c r="B13" i="7"/>
  <c r="B11" i="7"/>
  <c r="B15" i="7"/>
  <c r="B4" i="7"/>
  <c r="B17" i="7"/>
  <c r="C56" i="7"/>
  <c r="D56" i="7"/>
  <c r="E56" i="7"/>
  <c r="D38" i="7"/>
  <c r="C38" i="7"/>
  <c r="F47" i="7"/>
  <c r="I47" i="7"/>
  <c r="G47" i="7"/>
  <c r="J47" i="7"/>
  <c r="E38" i="7"/>
  <c r="H47" i="7"/>
  <c r="K47" i="7"/>
  <c r="B5" i="7"/>
  <c r="B6" i="7"/>
  <c r="P10" i="7"/>
  <c r="D4" i="7"/>
  <c r="C4" i="7"/>
  <c r="G38" i="7"/>
  <c r="F38" i="7"/>
  <c r="O47" i="7"/>
  <c r="R47" i="7"/>
  <c r="F56" i="7"/>
  <c r="P47" i="7"/>
  <c r="S47" i="7"/>
  <c r="G56" i="7"/>
  <c r="H38" i="7"/>
  <c r="Q47" i="7"/>
  <c r="T47" i="7"/>
  <c r="H56" i="7"/>
  <c r="P18" i="7"/>
  <c r="P26" i="7"/>
  <c r="B8" i="7"/>
  <c r="B7" i="7"/>
  <c r="J10" i="7"/>
  <c r="J18" i="7"/>
  <c r="J26" i="7"/>
  <c r="B12" i="7"/>
  <c r="C47" i="7"/>
  <c r="D47" i="7"/>
  <c r="E47" i="7"/>
  <c r="K10" i="7"/>
  <c r="H10" i="7"/>
  <c r="N10" i="7"/>
  <c r="L5" i="3"/>
  <c r="L17" i="3"/>
  <c r="C57" i="7"/>
  <c r="D57" i="7"/>
  <c r="C39" i="7"/>
  <c r="D39" i="7"/>
  <c r="F48" i="7"/>
  <c r="I48" i="7"/>
  <c r="G48" i="7"/>
  <c r="J48" i="7"/>
  <c r="E39" i="7"/>
  <c r="P11" i="7"/>
  <c r="F39" i="7"/>
  <c r="G39" i="7"/>
  <c r="O48" i="7"/>
  <c r="R48" i="7"/>
  <c r="F57" i="7"/>
  <c r="P48" i="7"/>
  <c r="S48" i="7"/>
  <c r="G57" i="7"/>
  <c r="H39" i="7"/>
  <c r="P19" i="7"/>
  <c r="P27" i="7"/>
  <c r="J11" i="7"/>
  <c r="J19" i="7"/>
  <c r="J27" i="7"/>
  <c r="C48" i="7"/>
  <c r="D48" i="7"/>
  <c r="E48" i="7"/>
  <c r="K11" i="7"/>
  <c r="H11" i="7"/>
  <c r="N11" i="7"/>
  <c r="L6" i="3"/>
  <c r="L18" i="3"/>
  <c r="C58" i="7"/>
  <c r="D58" i="7"/>
  <c r="C40" i="7"/>
  <c r="F49" i="7"/>
  <c r="I49" i="7"/>
  <c r="D40" i="7"/>
  <c r="G49" i="7"/>
  <c r="J49" i="7"/>
  <c r="E40" i="7"/>
  <c r="P12" i="7"/>
  <c r="F40" i="7"/>
  <c r="R49" i="7"/>
  <c r="F58" i="7"/>
  <c r="G40" i="7"/>
  <c r="P49" i="7"/>
  <c r="S49" i="7"/>
  <c r="G58" i="7"/>
  <c r="H40" i="7"/>
  <c r="P20" i="7"/>
  <c r="P28" i="7"/>
  <c r="J12" i="7"/>
  <c r="J20" i="7"/>
  <c r="J28" i="7"/>
  <c r="C49" i="7"/>
  <c r="D49" i="7"/>
  <c r="E49" i="7"/>
  <c r="K12" i="7"/>
  <c r="H12" i="7"/>
  <c r="N12" i="7"/>
  <c r="L7" i="3"/>
  <c r="L19" i="3"/>
  <c r="D37" i="7"/>
  <c r="C37" i="7"/>
  <c r="E37" i="7"/>
  <c r="P9" i="7"/>
  <c r="G37" i="7"/>
  <c r="F37" i="7"/>
  <c r="H37" i="7"/>
  <c r="P17" i="7"/>
  <c r="P25" i="7"/>
  <c r="J9" i="7"/>
  <c r="J17" i="7"/>
  <c r="J25" i="7"/>
  <c r="K9" i="7"/>
  <c r="H9" i="7"/>
  <c r="N9" i="7"/>
  <c r="L4" i="3"/>
  <c r="L16" i="3"/>
  <c r="K8" i="5"/>
  <c r="K9" i="5"/>
  <c r="K10" i="5"/>
  <c r="K11" i="5"/>
  <c r="K12" i="5"/>
  <c r="K13" i="5"/>
  <c r="K14" i="5"/>
  <c r="K15" i="5"/>
  <c r="A10" i="4"/>
  <c r="G4" i="4"/>
  <c r="G5" i="4"/>
  <c r="S12" i="7"/>
  <c r="S20" i="7"/>
  <c r="S28" i="7"/>
  <c r="R12" i="7"/>
  <c r="O49" i="7"/>
  <c r="R20" i="7"/>
  <c r="R28" i="7"/>
  <c r="Q12" i="7"/>
  <c r="L48" i="7"/>
  <c r="L49" i="7"/>
  <c r="M49" i="7"/>
  <c r="N49" i="7"/>
  <c r="Q20" i="7"/>
  <c r="Q28" i="7"/>
  <c r="S11" i="7"/>
  <c r="S19" i="7"/>
  <c r="S27" i="7"/>
  <c r="R11" i="7"/>
  <c r="R19" i="7"/>
  <c r="R27" i="7"/>
  <c r="Q11" i="7"/>
  <c r="M48" i="7"/>
  <c r="N48" i="7"/>
  <c r="Q19" i="7"/>
  <c r="Q27" i="7"/>
  <c r="S10" i="7"/>
  <c r="S18" i="7"/>
  <c r="S26" i="7"/>
  <c r="R10" i="7"/>
  <c r="R18" i="7"/>
  <c r="R26" i="7"/>
  <c r="Q10" i="7"/>
  <c r="L47" i="7"/>
  <c r="M47" i="7"/>
  <c r="N47" i="7"/>
  <c r="Q18" i="7"/>
  <c r="Q26" i="7"/>
  <c r="S9" i="7"/>
  <c r="S17" i="7"/>
  <c r="S25" i="7"/>
  <c r="R9" i="7"/>
  <c r="R17" i="7"/>
  <c r="R25" i="7"/>
  <c r="Q9" i="7"/>
  <c r="Q17" i="7"/>
  <c r="Q25" i="7"/>
  <c r="O18" i="7"/>
  <c r="O19" i="7"/>
  <c r="O20" i="7"/>
  <c r="N20" i="7"/>
  <c r="N19" i="7"/>
  <c r="O17" i="7"/>
  <c r="N18" i="7"/>
  <c r="N17" i="7"/>
  <c r="O10" i="7"/>
  <c r="O11" i="7"/>
  <c r="O12" i="7"/>
  <c r="O9" i="7"/>
  <c r="L17" i="7"/>
  <c r="K48" i="7"/>
  <c r="M11" i="7"/>
  <c r="I9" i="7"/>
  <c r="H1" i="7"/>
  <c r="H18" i="7"/>
  <c r="G3" i="4"/>
  <c r="U1" i="5"/>
  <c r="I10" i="6"/>
  <c r="I11" i="6"/>
  <c r="H11" i="6"/>
  <c r="G11" i="6"/>
  <c r="F11" i="6"/>
  <c r="D7" i="6"/>
  <c r="D9" i="6"/>
  <c r="C9" i="6"/>
  <c r="B9" i="6"/>
  <c r="A9" i="6"/>
  <c r="A23" i="7"/>
  <c r="A24" i="7"/>
  <c r="A25" i="7"/>
  <c r="A22" i="7"/>
  <c r="I8" i="6"/>
  <c r="I9" i="6"/>
  <c r="I7" i="6"/>
  <c r="T48" i="7"/>
  <c r="K49" i="7"/>
  <c r="E58" i="7"/>
  <c r="T49" i="7"/>
  <c r="H58" i="7"/>
  <c r="A14" i="7"/>
  <c r="K5" i="5"/>
  <c r="N6" i="5"/>
  <c r="N7" i="5"/>
  <c r="N8" i="5"/>
  <c r="N9" i="5"/>
  <c r="N10" i="5"/>
  <c r="N11" i="5"/>
  <c r="N12" i="5"/>
  <c r="N13" i="5"/>
  <c r="N14" i="5"/>
  <c r="N15" i="5"/>
  <c r="N5" i="5"/>
  <c r="K6" i="5"/>
  <c r="L6" i="5"/>
  <c r="M6" i="5"/>
  <c r="K7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M5" i="5"/>
  <c r="L5" i="5"/>
  <c r="H26" i="7"/>
  <c r="K18" i="7"/>
  <c r="K26" i="7"/>
  <c r="L10" i="7"/>
  <c r="I10" i="7"/>
  <c r="L18" i="7"/>
  <c r="L26" i="7"/>
  <c r="N26" i="7"/>
  <c r="I4" i="6"/>
  <c r="H19" i="7"/>
  <c r="H27" i="7"/>
  <c r="K19" i="7"/>
  <c r="K27" i="7"/>
  <c r="L11" i="7"/>
  <c r="I11" i="7"/>
  <c r="N27" i="7"/>
  <c r="L19" i="7"/>
  <c r="L27" i="7"/>
  <c r="I5" i="6"/>
  <c r="H20" i="7"/>
  <c r="H28" i="7"/>
  <c r="K20" i="7"/>
  <c r="K28" i="7"/>
  <c r="L12" i="7"/>
  <c r="I12" i="7"/>
  <c r="N28" i="7"/>
  <c r="L20" i="7"/>
  <c r="L28" i="7"/>
  <c r="I6" i="6"/>
  <c r="H17" i="7"/>
  <c r="H25" i="7"/>
  <c r="K17" i="7"/>
  <c r="K25" i="7"/>
  <c r="L9" i="7"/>
  <c r="N25" i="7"/>
  <c r="L25" i="7"/>
  <c r="I3" i="6"/>
  <c r="D4" i="6"/>
  <c r="D5" i="6"/>
  <c r="D6" i="6"/>
  <c r="D3" i="6"/>
  <c r="M20" i="7"/>
  <c r="M19" i="7"/>
  <c r="I20" i="7"/>
  <c r="I19" i="7"/>
  <c r="M18" i="7"/>
  <c r="I18" i="7"/>
  <c r="M10" i="7"/>
  <c r="M26" i="7"/>
  <c r="M27" i="7"/>
  <c r="M12" i="7"/>
  <c r="M28" i="7"/>
  <c r="I27" i="7"/>
  <c r="O27" i="7"/>
  <c r="I28" i="7"/>
  <c r="O28" i="7"/>
  <c r="I17" i="7"/>
  <c r="I25" i="7"/>
  <c r="I26" i="7"/>
  <c r="O25" i="7"/>
  <c r="M17" i="7"/>
  <c r="M9" i="7"/>
  <c r="M25" i="7"/>
  <c r="O26" i="7"/>
</calcChain>
</file>

<file path=xl/comments1.xml><?xml version="1.0" encoding="utf-8"?>
<comments xmlns="http://schemas.openxmlformats.org/spreadsheetml/2006/main">
  <authors>
    <author>BRUNA OLIVEIRA</author>
  </authors>
  <commentList>
    <comment ref="F1" authorId="0">
      <text>
        <r>
          <rPr>
            <b/>
            <sz val="10"/>
            <color indexed="81"/>
            <rFont val="Calibri"/>
          </rPr>
          <t>1. Ruptura Generalizada
2. Ruptura por Puncionamento
3. Ruptura Local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4" authorId="0">
      <text>
        <r>
          <rPr>
            <b/>
            <sz val="12"/>
            <color indexed="81"/>
            <rFont val="Calibri"/>
          </rPr>
          <t>Ângulo de atrito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5" authorId="0">
      <text>
        <r>
          <rPr>
            <b/>
            <sz val="12"/>
            <color indexed="81"/>
            <rFont val="Calibri"/>
          </rPr>
          <t>Coesão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6" authorId="0">
      <text>
        <r>
          <rPr>
            <b/>
            <sz val="12"/>
            <color indexed="81"/>
            <rFont val="Calibri"/>
          </rPr>
          <t>Peso Específico do Solo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7" authorId="0">
      <text>
        <r>
          <rPr>
            <b/>
            <sz val="12"/>
            <color indexed="81"/>
            <rFont val="Calibri"/>
          </rPr>
          <t>Peso Específico do Solo Saturado</t>
        </r>
        <r>
          <rPr>
            <sz val="12"/>
            <color indexed="81"/>
            <rFont val="Calibri"/>
          </rPr>
          <t xml:space="preserve">
</t>
        </r>
      </text>
    </comment>
    <comment ref="A8" authorId="0">
      <text>
        <r>
          <rPr>
            <b/>
            <sz val="12"/>
            <color indexed="81"/>
            <rFont val="Calibri"/>
          </rPr>
          <t>Nível do Lençol Freático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1" authorId="0">
      <text>
        <r>
          <rPr>
            <b/>
            <sz val="12"/>
            <color indexed="81"/>
            <rFont val="Calibri"/>
          </rPr>
          <t>Altura de Assentamento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2" authorId="0">
      <text>
        <r>
          <rPr>
            <b/>
            <sz val="12"/>
            <color indexed="81"/>
            <rFont val="Calibri"/>
          </rPr>
          <t>Menor dimensão da sapata</t>
        </r>
        <r>
          <rPr>
            <sz val="12"/>
            <color indexed="81"/>
            <rFont val="Calibri"/>
          </rPr>
          <t>.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3" authorId="0">
      <text>
        <r>
          <rPr>
            <b/>
            <sz val="12"/>
            <color indexed="81"/>
            <rFont val="Calibri"/>
          </rPr>
          <t>Maior dimensão da sapata.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4" authorId="0">
      <text>
        <r>
          <rPr>
            <b/>
            <sz val="12"/>
            <color indexed="81"/>
            <rFont val="Calibri"/>
          </rPr>
          <t>Diâmetro da Sapata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BRUNA OLIVEIRA</author>
  </authors>
  <commentList>
    <comment ref="A4" authorId="0">
      <text>
        <r>
          <rPr>
            <b/>
            <sz val="11"/>
            <color indexed="81"/>
            <rFont val="Calibri"/>
          </rPr>
          <t>Número de golpes do ensaio SPT</t>
        </r>
        <r>
          <rPr>
            <sz val="11"/>
            <color indexed="81"/>
            <rFont val="Calibri"/>
          </rPr>
          <t xml:space="preserve">
</t>
        </r>
      </text>
    </comment>
    <comment ref="A7" authorId="0">
      <text>
        <r>
          <rPr>
            <b/>
            <sz val="11"/>
            <color indexed="81"/>
            <rFont val="Calibri"/>
          </rPr>
          <t>Menor dimensão da sapata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8" authorId="0">
      <text>
        <r>
          <rPr>
            <b/>
            <sz val="11"/>
            <color indexed="81"/>
            <rFont val="Calibri"/>
          </rPr>
          <t>Maior dimensão da sapata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9" authorId="0">
      <text>
        <r>
          <rPr>
            <b/>
            <sz val="11"/>
            <color indexed="81"/>
            <rFont val="Calibri"/>
          </rPr>
          <t>Diâmetro da sapata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A13" authorId="0">
      <text>
        <r>
          <rPr>
            <b/>
            <sz val="12"/>
            <color indexed="81"/>
            <rFont val="Calibri"/>
          </rPr>
          <t>Recalque admissível do solo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BRUNA OLIVEIRA</author>
  </authors>
  <commentList>
    <comment ref="A3" authorId="0">
      <text>
        <r>
          <rPr>
            <b/>
            <sz val="12"/>
            <color indexed="81"/>
            <rFont val="Calibri"/>
          </rPr>
          <t>Tensão aplicada no ensaio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B3" authorId="0">
      <text>
        <r>
          <rPr>
            <b/>
            <sz val="12"/>
            <color indexed="81"/>
            <rFont val="Calibri"/>
          </rPr>
          <t>Recalque obtido no ensaio</t>
        </r>
        <r>
          <rPr>
            <sz val="9"/>
            <color indexed="81"/>
            <rFont val="Calibri"/>
            <family val="2"/>
          </rPr>
          <t xml:space="preserve">
</t>
        </r>
      </text>
    </comment>
    <comment ref="K3" authorId="0">
      <text>
        <r>
          <rPr>
            <sz val="12"/>
            <color indexed="81"/>
            <rFont val="Calibri"/>
          </rPr>
          <t>Tensão de ruptura arbitrada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<sst xmlns="http://schemas.openxmlformats.org/spreadsheetml/2006/main" count="350" uniqueCount="125">
  <si>
    <t>ALUNA:</t>
  </si>
  <si>
    <t>PROFESSORA ORIENTADORA:</t>
  </si>
  <si>
    <t>BRUNA LEAL MELO DE OLIVEIRA</t>
  </si>
  <si>
    <t>LUCIANA BARBOSA AMANCIO</t>
  </si>
  <si>
    <t>brunalealmelo@gmail.com</t>
  </si>
  <si>
    <t>eng.luciana2009@gmail.com</t>
  </si>
  <si>
    <t>3.1 Fatores de Capacidade de Carga</t>
  </si>
  <si>
    <t>RUPTURA GENERALIZADA</t>
  </si>
  <si>
    <t>Nc</t>
  </si>
  <si>
    <t>Nq</t>
  </si>
  <si>
    <t>Nγ</t>
  </si>
  <si>
    <t>N'c</t>
  </si>
  <si>
    <t>N'q</t>
  </si>
  <si>
    <t>N'γ</t>
  </si>
  <si>
    <t>TERZAGHI (1943)</t>
  </si>
  <si>
    <t>MEYERHOF</t>
  </si>
  <si>
    <t>BRINCH-HANSEN (1961)</t>
  </si>
  <si>
    <t>VÉSIC (1975)</t>
  </si>
  <si>
    <t>3.2 Fatores de Forma</t>
  </si>
  <si>
    <t>RETANGULAR</t>
  </si>
  <si>
    <t>QUADRADA</t>
  </si>
  <si>
    <t>CIRCULAR</t>
  </si>
  <si>
    <t>Sc</t>
  </si>
  <si>
    <t>Sq</t>
  </si>
  <si>
    <t>Sγ</t>
  </si>
  <si>
    <t>3.3 Profundidade</t>
  </si>
  <si>
    <t>3.4 Inclinação da Carga</t>
  </si>
  <si>
    <t>dc</t>
  </si>
  <si>
    <t>dq</t>
  </si>
  <si>
    <t>dγ</t>
  </si>
  <si>
    <t>ic</t>
  </si>
  <si>
    <t>iq</t>
  </si>
  <si>
    <t>iγ</t>
  </si>
  <si>
    <t>3.5 Inclinação do terreno</t>
  </si>
  <si>
    <t>3.6 Inclinação da Fundação</t>
  </si>
  <si>
    <t>gc</t>
  </si>
  <si>
    <t>gq</t>
  </si>
  <si>
    <t>gγ</t>
  </si>
  <si>
    <t>bc</t>
  </si>
  <si>
    <t>bq</t>
  </si>
  <si>
    <t>bγ</t>
  </si>
  <si>
    <t>1. DADOS DE ENTRADA</t>
  </si>
  <si>
    <t>1.1 Parâmetros do Solo</t>
  </si>
  <si>
    <t>φ</t>
  </si>
  <si>
    <t>graus</t>
  </si>
  <si>
    <t>c</t>
  </si>
  <si>
    <t>kPa</t>
  </si>
  <si>
    <t>γ</t>
  </si>
  <si>
    <t>kN/m³</t>
  </si>
  <si>
    <t>N.A.</t>
  </si>
  <si>
    <t>m</t>
  </si>
  <si>
    <t>1.2 Geometria da Fundação</t>
  </si>
  <si>
    <t>B</t>
  </si>
  <si>
    <t>L</t>
  </si>
  <si>
    <t>D</t>
  </si>
  <si>
    <t>1.3 Parâmetros de Projeto</t>
  </si>
  <si>
    <t>h</t>
  </si>
  <si>
    <t>φ'</t>
  </si>
  <si>
    <t>2. TIPOS DE RUPTURA</t>
  </si>
  <si>
    <t>2.1 RUPTURA GENERALIZADA</t>
  </si>
  <si>
    <t>RET</t>
  </si>
  <si>
    <t>QUAD</t>
  </si>
  <si>
    <t>CIRC</t>
  </si>
  <si>
    <t>3. CAPACIDADE DE CARGA (kN)</t>
  </si>
  <si>
    <t>4. INFORMAÇÕES ADICIONAIS</t>
  </si>
  <si>
    <t>1º Caso</t>
  </si>
  <si>
    <t>2º Caso</t>
  </si>
  <si>
    <t>3º Caso</t>
  </si>
  <si>
    <t>2.2 PUNCIONAMENTO</t>
  </si>
  <si>
    <t>2.3 RUPTURA LOCAL</t>
  </si>
  <si>
    <t>RUPTURA GERAL</t>
  </si>
  <si>
    <t>PUNCIONAMENTO</t>
  </si>
  <si>
    <t>RUPTURA PUNCIONAMENTO</t>
  </si>
  <si>
    <t>FS =</t>
  </si>
  <si>
    <t>-</t>
  </si>
  <si>
    <r>
      <t>γ</t>
    </r>
    <r>
      <rPr>
        <vertAlign val="subscript"/>
        <sz val="10"/>
        <color theme="1"/>
        <rFont val="Trebuchet MS"/>
        <family val="2"/>
      </rPr>
      <t>sat</t>
    </r>
  </si>
  <si>
    <t>ρ
(mm)</t>
  </si>
  <si>
    <t>1. ENSAIO DE PLACA</t>
  </si>
  <si>
    <t>1. CAPACIDADE DE CARGA (kN)</t>
  </si>
  <si>
    <t>MÉTODOS TEÓRICOS</t>
  </si>
  <si>
    <t>SEMI-EMPÍRICOS</t>
  </si>
  <si>
    <t>ENSAIO DE PLACA</t>
  </si>
  <si>
    <t>2. TENSÃO ADMISSÍVEL (kN)</t>
  </si>
  <si>
    <t>x</t>
  </si>
  <si>
    <t>y</t>
  </si>
  <si>
    <t>MEYERHOF (1963)</t>
  </si>
  <si>
    <t>MEYERHOF (1965)</t>
  </si>
  <si>
    <t>TEIXEIRA (1996)</t>
  </si>
  <si>
    <t>mm</t>
  </si>
  <si>
    <t>TERZAGHI E PECK (1967)</t>
  </si>
  <si>
    <t>2. TENSÃO ADMISSÍVEL (kPa)</t>
  </si>
  <si>
    <t>3. CAPACIDADE DE CARGA (kPa)</t>
  </si>
  <si>
    <t>4. TENSÃO ADMISSÍVEL (kPa)</t>
  </si>
  <si>
    <t>1.2 Parâmetros de Projeto</t>
  </si>
  <si>
    <t>Prova de Carga</t>
  </si>
  <si>
    <r>
      <t>γ</t>
    </r>
    <r>
      <rPr>
        <b/>
        <vertAlign val="subscript"/>
        <sz val="12"/>
        <color theme="1"/>
        <rFont val="Trebuchet MS"/>
        <family val="2"/>
      </rPr>
      <t>sat</t>
    </r>
  </si>
  <si>
    <r>
      <t>N</t>
    </r>
    <r>
      <rPr>
        <b/>
        <vertAlign val="subscript"/>
        <sz val="12"/>
        <color theme="1"/>
        <rFont val="Trebuchet MS"/>
        <family val="2"/>
      </rPr>
      <t>SPT</t>
    </r>
  </si>
  <si>
    <r>
      <t>ρ</t>
    </r>
    <r>
      <rPr>
        <b/>
        <vertAlign val="subscript"/>
        <sz val="12"/>
        <color theme="1"/>
        <rFont val="Trebuchet MS"/>
        <family val="2"/>
      </rPr>
      <t>adm</t>
    </r>
  </si>
  <si>
    <r>
      <t>ρ'
(x10</t>
    </r>
    <r>
      <rPr>
        <b/>
        <vertAlign val="superscript"/>
        <sz val="12"/>
        <rFont val="Trebuchet MS"/>
      </rPr>
      <t>-3</t>
    </r>
    <r>
      <rPr>
        <b/>
        <sz val="12"/>
        <rFont val="Trebuchet MS"/>
        <family val="2"/>
      </rPr>
      <t xml:space="preserve"> mm)</t>
    </r>
  </si>
  <si>
    <t>1.1. PARÂMETROS DO SOLO</t>
  </si>
  <si>
    <t>1.2. PARÂMETROS DE PROJETO</t>
  </si>
  <si>
    <t>3. CAPACIDADE DE CARGA</t>
  </si>
  <si>
    <t>Depois de inserido o tipo de ruptura, a planilha calcula automaticamente a Capacidade de Carga, em KPa, pelos Métodos de Terzaghi (1943), Meyerhof (1963), Brinch-Hansen (1961) e Vésic (1975).</t>
  </si>
  <si>
    <t>4. TENSÃO ADMISSÍVEL</t>
  </si>
  <si>
    <t>O usuário deverá inserir o Fator de Segurança. Usualmente, utiliza-se um F.S.=3,0 para fundações. Depois de colocado esse valor, a planilha calcula automaticamente a Tensão Admissível, em KPa,  baseada nos valores da Capacidade de Carga.</t>
  </si>
  <si>
    <t>B'</t>
  </si>
  <si>
    <t>4º Caso</t>
  </si>
  <si>
    <r>
      <rPr>
        <b/>
        <sz val="12"/>
        <rFont val="Calibri"/>
        <family val="2"/>
      </rPr>
      <t>ρ</t>
    </r>
    <r>
      <rPr>
        <b/>
        <sz val="12"/>
        <rFont val="Trebuchet MS"/>
        <family val="2"/>
      </rPr>
      <t>''
(mm)</t>
    </r>
  </si>
  <si>
    <t>2. CAPACIDADE DE CARGA (kPa)</t>
  </si>
  <si>
    <t>3. TENSÃO ADMISSÍVEL (kPa)</t>
  </si>
  <si>
    <r>
      <t>O usuário deve inserir os dados de entrada, como: Ângulo de atrito</t>
    </r>
    <r>
      <rPr>
        <sz val="12"/>
        <color theme="1"/>
        <rFont val="Calibri"/>
        <family val="2"/>
        <scheme val="minor"/>
      </rPr>
      <t xml:space="preserve"> (ϕ)</t>
    </r>
    <r>
      <rPr>
        <sz val="12"/>
        <color theme="1"/>
        <rFont val="Calibri"/>
        <family val="2"/>
        <scheme val="minor"/>
      </rPr>
      <t>, Coesão</t>
    </r>
    <r>
      <rPr>
        <sz val="12"/>
        <color theme="1"/>
        <rFont val="Calibri"/>
        <family val="2"/>
        <scheme val="minor"/>
      </rPr>
      <t xml:space="preserve"> (c)</t>
    </r>
    <r>
      <rPr>
        <sz val="12"/>
        <color theme="1"/>
        <rFont val="Calibri"/>
        <family val="2"/>
        <scheme val="minor"/>
      </rPr>
      <t xml:space="preserve"> e Peso Específico do Solo</t>
    </r>
    <r>
      <rPr>
        <sz val="12"/>
        <color theme="1"/>
        <rFont val="Calibri"/>
        <family val="2"/>
        <scheme val="minor"/>
      </rPr>
      <t xml:space="preserve"> (ϒ)</t>
    </r>
    <r>
      <rPr>
        <sz val="12"/>
        <color theme="1"/>
        <rFont val="Calibri"/>
        <family val="2"/>
        <scheme val="minor"/>
      </rPr>
      <t>. Caso haja influência do lençol freático, também deverá ser inserido o Peso Específico do Solo Saturado</t>
    </r>
    <r>
      <rPr>
        <sz val="12"/>
        <color theme="1"/>
        <rFont val="Calibri"/>
        <family val="2"/>
        <scheme val="minor"/>
      </rPr>
      <t xml:space="preserve"> (ϒsat)</t>
    </r>
    <r>
      <rPr>
        <sz val="12"/>
        <color theme="1"/>
        <rFont val="Calibri"/>
        <family val="2"/>
        <scheme val="minor"/>
      </rPr>
      <t xml:space="preserve"> e o Nível da Água</t>
    </r>
    <r>
      <rPr>
        <sz val="12"/>
        <color theme="1"/>
        <rFont val="Calibri"/>
        <family val="2"/>
        <scheme val="minor"/>
      </rPr>
      <t xml:space="preserve"> (N.A)</t>
    </r>
    <r>
      <rPr>
        <sz val="12"/>
        <color theme="1"/>
        <rFont val="Calibri"/>
        <family val="2"/>
        <scheme val="minor"/>
      </rPr>
      <t>. As unidades estão especificadas na própria planilha.</t>
    </r>
  </si>
  <si>
    <t>TUTORIAL</t>
  </si>
  <si>
    <r>
      <t>O usuário deve inserir os dados de projeto, como: Cota de Assentamento</t>
    </r>
    <r>
      <rPr>
        <sz val="12"/>
        <color theme="1"/>
        <rFont val="Calibri"/>
        <family val="2"/>
        <scheme val="minor"/>
      </rPr>
      <t xml:space="preserve"> (h)</t>
    </r>
    <r>
      <rPr>
        <sz val="12"/>
        <color theme="1"/>
        <rFont val="Calibri"/>
        <family val="2"/>
        <scheme val="minor"/>
      </rPr>
      <t>, Menor dimensão</t>
    </r>
    <r>
      <rPr>
        <sz val="12"/>
        <color theme="1"/>
        <rFont val="Calibri"/>
        <family val="2"/>
        <scheme val="minor"/>
      </rPr>
      <t xml:space="preserve"> (B)</t>
    </r>
    <r>
      <rPr>
        <sz val="12"/>
        <color theme="1"/>
        <rFont val="Calibri"/>
        <family val="2"/>
        <scheme val="minor"/>
      </rPr>
      <t xml:space="preserve"> e Maior dimensão da sapata</t>
    </r>
    <r>
      <rPr>
        <sz val="12"/>
        <color theme="1"/>
        <rFont val="Calibri"/>
        <family val="2"/>
        <scheme val="minor"/>
      </rPr>
      <t xml:space="preserve"> (L)</t>
    </r>
    <r>
      <rPr>
        <sz val="12"/>
        <color theme="1"/>
        <rFont val="Calibri"/>
        <family val="2"/>
        <scheme val="minor"/>
      </rPr>
      <t>, e Diâmetro</t>
    </r>
    <r>
      <rPr>
        <sz val="12"/>
        <color theme="1"/>
        <rFont val="Calibri"/>
        <family val="2"/>
        <scheme val="minor"/>
      </rPr>
      <t xml:space="preserve"> (D)</t>
    </r>
    <r>
      <rPr>
        <sz val="12"/>
        <color theme="1"/>
        <rFont val="Calibri"/>
        <family val="2"/>
        <scheme val="minor"/>
      </rPr>
      <t xml:space="preserve"> caso tenha formato circular. 
Depois de colocadas as dimensões, aparecerá automaticamente o formato da fundação. As unidades devem ser "metro".
Obs.: No caso de sapata retangular ou quadrada, colocar Diâmetro = 0. Caso contrário,  aparecerá: “Verificar Dimensões”. 
“R”: Retangular.
“Q”: Quadrada.
“C”: Circular.
</t>
    </r>
  </si>
  <si>
    <r>
      <t xml:space="preserve">Depois de colocados os parâmetros de entrada, observa-se que o gráfico marcará o Tipo de Ruptura baseado no ângulo de atrito e </t>
    </r>
    <r>
      <rPr>
        <sz val="12"/>
        <color theme="1"/>
        <rFont val="Calibri"/>
        <family val="2"/>
        <scheme val="minor"/>
      </rPr>
      <t xml:space="preserve">na </t>
    </r>
    <r>
      <rPr>
        <sz val="12"/>
        <color theme="1"/>
        <rFont val="Calibri"/>
        <family val="2"/>
        <scheme val="minor"/>
      </rPr>
      <t xml:space="preserve">coesão do solo. Tendo essa informação, o usuário deverá inserir na célula específica, o número correspondente ao tipo de ruptura.
“1”: Ruptura Generalizada
“2”: Ruptura por Puncionamento
“3”: Ruptura Local.
</t>
    </r>
  </si>
  <si>
    <t>O usuário deve inserir o número de golpes obtidos do ensaio SPT (Nspt).</t>
  </si>
  <si>
    <t>1.2. GEOMETRIA DA FUNDAÇÃO</t>
  </si>
  <si>
    <t xml:space="preserve">O usuário deve inserir os dados da fundação, como:  menor dimensão (B), maior dimensão (L) ou Diâmetro (D), caso seja circular. Depois de colocadas as dimensões, aparecerá automaticamente o formato da fundação. As unidades devem ser "metro".
Obs.: No caso de sapata retangular ou quadrada, colocar Diâmetro = 0. Caso contrário,  aparecerá: “Verificar Dimensões”. 
“R”: Retangular.
“Q”: Quadrada.
“C”: Circular.
</t>
  </si>
  <si>
    <t>Nessa etapa, deverá ser inserido o recalque admissível (ρadm) da fundação.</t>
  </si>
  <si>
    <t>2. TENSÃO ADMISSÍVEL</t>
  </si>
  <si>
    <t>Depois de inseridos os dados de projeto, a planilha calcula automaticamente a tensão admissível pelas metodologias propostas por: Terzaghi e Peck (1967), Meyerhof (1965) e Teixeira (1996).</t>
  </si>
  <si>
    <t xml:space="preserve">O usuário deve inserir os resultados obtidos no ensaio de Prova de Carga sobre Placa. Primeiro, coloca-se as cargas (P) e depois os recalques (ρ) encontrados no ensaio. Simultaneamente, um gráfico carga x recalque é plotado. 
Seguindo o Método de Van der Veen (1953), o usuário arbitra cargas de ruptura (PR), baseado no gráfico curva x recalque, e assim, a planilha calcula automaticamente os novos recalques (ρ'). Concomitantemente, um gráfico com as cargas arbitradas e os novos recalques é plotado. O usuário deve testar cargas até que se obtenha uma reta linear mais próxima de R2 = 1,0.
Depois de encontrada essa reta, observa-se qual carga arbitrada levou à ela. Esta, por sua vez, é a capacidade de carga.
</t>
  </si>
  <si>
    <t>2. CAPACIDADE DE CARGA</t>
  </si>
  <si>
    <r>
      <t xml:space="preserve">Deve-se inserir o valor da tensão de ruptura obtido através do gráfico de Van der Veen. 
</t>
    </r>
    <r>
      <rPr>
        <b/>
        <sz val="12"/>
        <color theme="1"/>
        <rFont val="Calibri"/>
        <family val="2"/>
        <scheme val="minor"/>
      </rPr>
      <t>3. TENSÃO ADMISSÍVEL</t>
    </r>
    <r>
      <rPr>
        <sz val="12"/>
        <color theme="1"/>
        <rFont val="Calibri"/>
        <family val="2"/>
        <scheme val="minor"/>
      </rPr>
      <t xml:space="preserve">
Depois de inserida a capacidade de carga, a planilha calcula automaticamente a tensão admissível do solo.
</t>
    </r>
  </si>
  <si>
    <t>σ
(kPa)</t>
  </si>
  <si>
    <r>
      <t>σ</t>
    </r>
    <r>
      <rPr>
        <b/>
        <vertAlign val="subscript"/>
        <sz val="12"/>
        <color theme="1"/>
        <rFont val="Trebuchet MS"/>
        <family val="2"/>
      </rPr>
      <t xml:space="preserve">R </t>
    </r>
    <r>
      <rPr>
        <b/>
        <sz val="12"/>
        <color theme="1"/>
        <rFont val="Trebuchet MS"/>
        <family val="2"/>
      </rPr>
      <t>(kPa)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</si>
</sst>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"/>
    <numFmt numFmtId="165" formatCode="0.00_ ;\-0.00\ "/>
    <numFmt numFmtId="166" formatCode="0.000"/>
  </numFmts>
  <fonts count="4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1"/>
      <name val="Trebuchet MS"/>
      <family val="2"/>
    </font>
    <font>
      <sz val="10"/>
      <color theme="1"/>
      <name val="Trebuchet MS"/>
      <family val="2"/>
    </font>
    <font>
      <sz val="11"/>
      <color theme="1"/>
      <name val="Trebuchet MS"/>
      <family val="2"/>
    </font>
    <font>
      <vertAlign val="subscript"/>
      <sz val="10"/>
      <color theme="1"/>
      <name val="Trebuchet MS"/>
      <family val="2"/>
    </font>
    <font>
      <sz val="10"/>
      <color theme="0"/>
      <name val="Trebuchet MS"/>
      <family val="2"/>
    </font>
    <font>
      <sz val="10"/>
      <name val="Trebuchet MS"/>
      <family val="2"/>
    </font>
    <font>
      <sz val="10"/>
      <color theme="0" tint="-0.14999847407452621"/>
      <name val="Trebuchet MS"/>
      <family val="2"/>
    </font>
    <font>
      <sz val="10"/>
      <color rgb="FFFFFF00"/>
      <name val="Trebuchet MS"/>
      <family val="2"/>
    </font>
    <font>
      <sz val="10"/>
      <color rgb="FFFF0000"/>
      <name val="Trebuchet MS"/>
      <family val="2"/>
    </font>
    <font>
      <sz val="11"/>
      <color rgb="FFFF0000"/>
      <name val="Trebuchet MS"/>
      <family val="2"/>
    </font>
    <font>
      <sz val="10"/>
      <color theme="1"/>
      <name val="Verdana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9"/>
      <color theme="1"/>
      <name val="Verdana"/>
    </font>
    <font>
      <b/>
      <sz val="12"/>
      <color theme="1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Calibri"/>
      <family val="2"/>
    </font>
    <font>
      <b/>
      <vertAlign val="subscript"/>
      <sz val="12"/>
      <color theme="1"/>
      <name val="Trebuchet MS"/>
      <family val="2"/>
    </font>
    <font>
      <sz val="12"/>
      <color rgb="FFFF0000"/>
      <name val="Trebuchet MS"/>
      <family val="2"/>
    </font>
    <font>
      <sz val="12"/>
      <color theme="0" tint="-0.14999847407452621"/>
      <name val="Trebuchet MS"/>
      <family val="2"/>
    </font>
    <font>
      <b/>
      <sz val="12"/>
      <name val="Trebuchet MS"/>
      <family val="2"/>
    </font>
    <font>
      <b/>
      <sz val="12"/>
      <name val="Calibri"/>
      <family val="2"/>
    </font>
    <font>
      <sz val="12"/>
      <name val="Trebuchet MS"/>
      <family val="2"/>
    </font>
    <font>
      <b/>
      <vertAlign val="superscript"/>
      <sz val="12"/>
      <name val="Trebuchet MS"/>
    </font>
    <font>
      <sz val="9"/>
      <color indexed="81"/>
      <name val="Calibri"/>
      <family val="2"/>
    </font>
    <font>
      <sz val="12"/>
      <color indexed="81"/>
      <name val="Calibri"/>
    </font>
    <font>
      <b/>
      <sz val="12"/>
      <color indexed="81"/>
      <name val="Calibri"/>
    </font>
    <font>
      <b/>
      <sz val="8"/>
      <color rgb="FF000000"/>
      <name val="Verdana"/>
      <family val="2"/>
    </font>
    <font>
      <sz val="10"/>
      <color rgb="FF000000"/>
      <name val="Verdana"/>
    </font>
    <font>
      <sz val="9"/>
      <color rgb="FF000000"/>
      <name val="Verdana"/>
    </font>
    <font>
      <b/>
      <sz val="12"/>
      <color theme="1"/>
      <name val="Calibri"/>
      <family val="2"/>
      <scheme val="minor"/>
    </font>
    <font>
      <b/>
      <sz val="10"/>
      <color indexed="81"/>
      <name val="Calibri"/>
    </font>
    <font>
      <b/>
      <sz val="11"/>
      <color indexed="81"/>
      <name val="Calibri"/>
    </font>
    <font>
      <sz val="11"/>
      <color indexed="81"/>
      <name val="Calibri"/>
    </font>
    <font>
      <b/>
      <sz val="48"/>
      <color rgb="FF800080"/>
      <name val="Bauhaus 93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D45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FFFF"/>
        <bgColor rgb="FF000000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22">
    <xf numFmtId="0" fontId="0" fillId="0" borderId="0"/>
    <xf numFmtId="43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256">
    <xf numFmtId="0" fontId="0" fillId="0" borderId="0" xfId="0"/>
    <xf numFmtId="0" fontId="0" fillId="2" borderId="0" xfId="0" applyFill="1"/>
    <xf numFmtId="0" fontId="0" fillId="3" borderId="0" xfId="0" applyFill="1"/>
    <xf numFmtId="0" fontId="8" fillId="2" borderId="0" xfId="0" applyFont="1" applyFill="1"/>
    <xf numFmtId="0" fontId="9" fillId="2" borderId="0" xfId="0" applyFont="1" applyFill="1"/>
    <xf numFmtId="0" fontId="8" fillId="2" borderId="0" xfId="0" applyFont="1" applyFill="1" applyBorder="1" applyAlignment="1"/>
    <xf numFmtId="0" fontId="8" fillId="2" borderId="0" xfId="0" applyFont="1" applyFill="1" applyBorder="1"/>
    <xf numFmtId="0" fontId="7" fillId="0" borderId="0" xfId="0" applyFont="1" applyBorder="1" applyAlignment="1"/>
    <xf numFmtId="0" fontId="8" fillId="0" borderId="0" xfId="0" applyFont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7" fillId="9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1" fontId="8" fillId="9" borderId="1" xfId="0" applyNumberFormat="1" applyFont="1" applyFill="1" applyBorder="1"/>
    <xf numFmtId="0" fontId="7" fillId="0" borderId="0" xfId="0" applyFont="1" applyBorder="1" applyAlignment="1">
      <alignment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8" fillId="0" borderId="0" xfId="0" applyFont="1" applyBorder="1"/>
    <xf numFmtId="2" fontId="8" fillId="0" borderId="10" xfId="0" applyNumberFormat="1" applyFont="1" applyFill="1" applyBorder="1" applyAlignment="1">
      <alignment horizontal="center"/>
    </xf>
    <xf numFmtId="2" fontId="8" fillId="0" borderId="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0" fontId="8" fillId="9" borderId="1" xfId="0" applyFont="1" applyFill="1" applyBorder="1"/>
    <xf numFmtId="2" fontId="8" fillId="0" borderId="12" xfId="0" applyNumberFormat="1" applyFont="1" applyFill="1" applyBorder="1" applyAlignment="1">
      <alignment horizontal="center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0" borderId="3" xfId="0" applyFont="1" applyBorder="1"/>
    <xf numFmtId="165" fontId="8" fillId="0" borderId="10" xfId="1" applyNumberFormat="1" applyFont="1" applyFill="1" applyBorder="1" applyAlignment="1">
      <alignment horizontal="center"/>
    </xf>
    <xf numFmtId="165" fontId="8" fillId="0" borderId="1" xfId="1" applyNumberFormat="1" applyFont="1" applyFill="1" applyBorder="1" applyAlignment="1">
      <alignment horizontal="center"/>
    </xf>
    <xf numFmtId="165" fontId="8" fillId="0" borderId="11" xfId="1" applyNumberFormat="1" applyFont="1" applyFill="1" applyBorder="1" applyAlignment="1">
      <alignment horizontal="center"/>
    </xf>
    <xf numFmtId="165" fontId="8" fillId="0" borderId="10" xfId="0" applyNumberFormat="1" applyFont="1" applyFill="1" applyBorder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8" fillId="0" borderId="13" xfId="1" applyNumberFormat="1" applyFont="1" applyFill="1" applyBorder="1" applyAlignment="1">
      <alignment horizontal="center"/>
    </xf>
    <xf numFmtId="165" fontId="8" fillId="0" borderId="14" xfId="1" applyNumberFormat="1" applyFont="1" applyFill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Fill="1" applyBorder="1" applyAlignment="1"/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/>
    <xf numFmtId="0" fontId="8" fillId="0" borderId="0" xfId="0" applyFont="1" applyAlignment="1"/>
    <xf numFmtId="2" fontId="8" fillId="0" borderId="0" xfId="0" applyNumberFormat="1" applyFont="1" applyFill="1" applyBorder="1" applyAlignment="1">
      <alignment horizontal="center"/>
    </xf>
    <xf numFmtId="0" fontId="7" fillId="0" borderId="0" xfId="0" applyFont="1"/>
    <xf numFmtId="0" fontId="8" fillId="0" borderId="0" xfId="0" applyFont="1" applyFill="1"/>
    <xf numFmtId="0" fontId="8" fillId="0" borderId="0" xfId="0" applyFont="1" applyFill="1" applyAlignment="1"/>
    <xf numFmtId="0" fontId="8" fillId="4" borderId="10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6" borderId="10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7" fillId="7" borderId="10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7" fillId="7" borderId="11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/>
    </xf>
    <xf numFmtId="0" fontId="7" fillId="8" borderId="11" xfId="0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center"/>
    </xf>
    <xf numFmtId="2" fontId="8" fillId="0" borderId="14" xfId="0" applyNumberFormat="1" applyFont="1" applyFill="1" applyBorder="1" applyAlignment="1">
      <alignment horizontal="center" vertical="center"/>
    </xf>
    <xf numFmtId="2" fontId="8" fillId="0" borderId="12" xfId="0" applyNumberFormat="1" applyFont="1" applyFill="1" applyBorder="1" applyAlignment="1">
      <alignment horizontal="center" vertical="center"/>
    </xf>
    <xf numFmtId="2" fontId="11" fillId="0" borderId="0" xfId="0" applyNumberFormat="1" applyFont="1" applyFill="1"/>
    <xf numFmtId="2" fontId="8" fillId="0" borderId="0" xfId="0" applyNumberFormat="1" applyFont="1"/>
    <xf numFmtId="2" fontId="8" fillId="0" borderId="1" xfId="0" applyNumberFormat="1" applyFont="1" applyBorder="1" applyAlignment="1">
      <alignment horizontal="center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3" xfId="0" applyNumberFormat="1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2" fontId="12" fillId="0" borderId="11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 vertical="center"/>
    </xf>
    <xf numFmtId="2" fontId="12" fillId="0" borderId="10" xfId="0" applyNumberFormat="1" applyFont="1" applyFill="1" applyBorder="1" applyAlignment="1">
      <alignment horizontal="center"/>
    </xf>
    <xf numFmtId="2" fontId="12" fillId="0" borderId="1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2" fontId="8" fillId="0" borderId="4" xfId="0" applyNumberFormat="1" applyFont="1" applyBorder="1" applyAlignment="1">
      <alignment horizontal="center"/>
    </xf>
    <xf numFmtId="2" fontId="12" fillId="0" borderId="4" xfId="0" applyNumberFormat="1" applyFont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2" fontId="12" fillId="0" borderId="12" xfId="0" applyNumberFormat="1" applyFont="1" applyBorder="1" applyAlignment="1">
      <alignment horizontal="center"/>
    </xf>
    <xf numFmtId="2" fontId="12" fillId="0" borderId="13" xfId="0" applyNumberFormat="1" applyFont="1" applyBorder="1" applyAlignment="1">
      <alignment horizontal="center"/>
    </xf>
    <xf numFmtId="2" fontId="12" fillId="0" borderId="14" xfId="0" applyNumberFormat="1" applyFont="1" applyBorder="1" applyAlignment="1">
      <alignment horizontal="center"/>
    </xf>
    <xf numFmtId="2" fontId="8" fillId="0" borderId="10" xfId="0" applyNumberFormat="1" applyFont="1" applyBorder="1" applyAlignment="1">
      <alignment horizontal="center"/>
    </xf>
    <xf numFmtId="2" fontId="12" fillId="0" borderId="10" xfId="0" applyNumberFormat="1" applyFont="1" applyBorder="1" applyAlignment="1">
      <alignment horizont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2" xfId="0" applyNumberFormat="1" applyFont="1" applyFill="1" applyBorder="1" applyAlignment="1">
      <alignment horizontal="center" vertical="center"/>
    </xf>
    <xf numFmtId="2" fontId="12" fillId="0" borderId="27" xfId="0" applyNumberFormat="1" applyFont="1" applyBorder="1" applyAlignment="1">
      <alignment horizontal="center"/>
    </xf>
    <xf numFmtId="2" fontId="12" fillId="0" borderId="11" xfId="0" applyNumberFormat="1" applyFont="1" applyFill="1" applyBorder="1" applyAlignment="1">
      <alignment horizontal="center"/>
    </xf>
    <xf numFmtId="2" fontId="14" fillId="13" borderId="10" xfId="0" applyNumberFormat="1" applyFont="1" applyFill="1" applyBorder="1" applyAlignment="1">
      <alignment horizontal="center"/>
    </xf>
    <xf numFmtId="2" fontId="14" fillId="13" borderId="1" xfId="0" applyNumberFormat="1" applyFont="1" applyFill="1" applyBorder="1" applyAlignment="1">
      <alignment horizontal="center"/>
    </xf>
    <xf numFmtId="2" fontId="14" fillId="13" borderId="11" xfId="0" applyNumberFormat="1" applyFont="1" applyFill="1" applyBorder="1" applyAlignment="1">
      <alignment horizontal="center"/>
    </xf>
    <xf numFmtId="0" fontId="8" fillId="11" borderId="10" xfId="0" applyFont="1" applyFill="1" applyBorder="1" applyAlignment="1">
      <alignment horizontal="center"/>
    </xf>
    <xf numFmtId="0" fontId="8" fillId="11" borderId="1" xfId="0" applyFont="1" applyFill="1" applyBorder="1" applyAlignment="1">
      <alignment horizontal="center"/>
    </xf>
    <xf numFmtId="0" fontId="8" fillId="11" borderId="11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0" fontId="8" fillId="9" borderId="1" xfId="0" applyFont="1" applyFill="1" applyBorder="1" applyAlignment="1">
      <alignment horizontal="center"/>
    </xf>
    <xf numFmtId="2" fontId="8" fillId="0" borderId="12" xfId="0" quotePrefix="1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9" fillId="2" borderId="0" xfId="0" applyFont="1" applyFill="1" applyBorder="1"/>
    <xf numFmtId="0" fontId="12" fillId="2" borderId="0" xfId="0" applyFont="1" applyFill="1"/>
    <xf numFmtId="0" fontId="6" fillId="3" borderId="0" xfId="0" applyFont="1" applyFill="1" applyBorder="1" applyAlignment="1"/>
    <xf numFmtId="0" fontId="17" fillId="3" borderId="0" xfId="0" applyFont="1" applyFill="1" applyBorder="1" applyAlignment="1"/>
    <xf numFmtId="0" fontId="20" fillId="3" borderId="0" xfId="0" applyFont="1" applyFill="1" applyBorder="1" applyAlignment="1"/>
    <xf numFmtId="0" fontId="37" fillId="2" borderId="0" xfId="0" applyFont="1" applyFill="1"/>
    <xf numFmtId="164" fontId="8" fillId="9" borderId="1" xfId="0" applyNumberFormat="1" applyFont="1" applyFill="1" applyBorder="1"/>
    <xf numFmtId="164" fontId="8" fillId="0" borderId="0" xfId="0" applyNumberFormat="1" applyFont="1"/>
    <xf numFmtId="0" fontId="21" fillId="2" borderId="0" xfId="0" applyFont="1" applyFill="1" applyProtection="1">
      <protection locked="0"/>
    </xf>
    <xf numFmtId="0" fontId="22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22" fillId="3" borderId="0" xfId="0" applyFont="1" applyFill="1" applyProtection="1">
      <protection locked="0"/>
    </xf>
    <xf numFmtId="0" fontId="21" fillId="2" borderId="0" xfId="0" applyFont="1" applyFill="1" applyBorder="1" applyAlignment="1" applyProtection="1"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1" fontId="22" fillId="3" borderId="1" xfId="0" applyNumberFormat="1" applyFont="1" applyFill="1" applyBorder="1" applyAlignment="1" applyProtection="1">
      <alignment horizontal="center" vertical="center"/>
      <protection locked="0"/>
    </xf>
    <xf numFmtId="2" fontId="22" fillId="3" borderId="1" xfId="0" applyNumberFormat="1" applyFont="1" applyFill="1" applyBorder="1" applyAlignment="1" applyProtection="1">
      <alignment horizontal="center" vertical="center"/>
      <protection locked="0"/>
    </xf>
    <xf numFmtId="2" fontId="8" fillId="2" borderId="0" xfId="0" applyNumberFormat="1" applyFont="1" applyFill="1" applyBorder="1" applyAlignment="1" applyProtection="1">
      <alignment horizontal="center"/>
      <protection locked="0" hidden="1"/>
    </xf>
    <xf numFmtId="2" fontId="13" fillId="2" borderId="0" xfId="0" applyNumberFormat="1" applyFont="1" applyFill="1" applyBorder="1" applyAlignment="1" applyProtection="1">
      <alignment horizontal="center" vertical="center"/>
      <protection locked="0"/>
    </xf>
    <xf numFmtId="2" fontId="29" fillId="10" borderId="1" xfId="0" applyNumberFormat="1" applyFont="1" applyFill="1" applyBorder="1" applyAlignment="1" applyProtection="1">
      <alignment horizontal="center"/>
    </xf>
    <xf numFmtId="1" fontId="29" fillId="10" borderId="1" xfId="0" applyNumberFormat="1" applyFont="1" applyFill="1" applyBorder="1" applyAlignment="1" applyProtection="1">
      <alignment horizontal="center" vertical="center"/>
    </xf>
    <xf numFmtId="0" fontId="22" fillId="10" borderId="0" xfId="0" applyFont="1" applyFill="1" applyProtection="1"/>
    <xf numFmtId="0" fontId="4" fillId="2" borderId="0" xfId="0" applyFont="1" applyFill="1" applyProtection="1">
      <protection locked="0"/>
    </xf>
    <xf numFmtId="0" fontId="22" fillId="2" borderId="0" xfId="0" applyFont="1" applyFill="1" applyBorder="1" applyAlignment="1" applyProtection="1">
      <protection locked="0"/>
    </xf>
    <xf numFmtId="0" fontId="0" fillId="2" borderId="0" xfId="0" applyFill="1" applyProtection="1">
      <protection locked="0"/>
    </xf>
    <xf numFmtId="0" fontId="7" fillId="2" borderId="0" xfId="0" applyFont="1" applyFill="1" applyBorder="1" applyAlignment="1" applyProtection="1">
      <protection locked="0"/>
    </xf>
    <xf numFmtId="0" fontId="8" fillId="2" borderId="0" xfId="0" applyFont="1" applyFill="1" applyBorder="1" applyAlignment="1" applyProtection="1">
      <protection locked="0"/>
    </xf>
    <xf numFmtId="0" fontId="21" fillId="2" borderId="0" xfId="0" applyFont="1" applyFill="1" applyBorder="1" applyAlignment="1" applyProtection="1">
      <alignment horizontal="left"/>
      <protection locked="0"/>
    </xf>
    <xf numFmtId="0" fontId="21" fillId="2" borderId="0" xfId="0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Protection="1">
      <protection locked="0"/>
    </xf>
    <xf numFmtId="164" fontId="8" fillId="2" borderId="0" xfId="0" applyNumberFormat="1" applyFont="1" applyFill="1" applyBorder="1" applyProtection="1">
      <protection locked="0"/>
    </xf>
    <xf numFmtId="0" fontId="21" fillId="12" borderId="1" xfId="0" applyFont="1" applyFill="1" applyBorder="1" applyAlignment="1" applyProtection="1">
      <alignment horizontal="center"/>
      <protection locked="0"/>
    </xf>
    <xf numFmtId="1" fontId="22" fillId="3" borderId="1" xfId="0" applyNumberFormat="1" applyFont="1" applyFill="1" applyBorder="1" applyProtection="1">
      <protection locked="0"/>
    </xf>
    <xf numFmtId="0" fontId="9" fillId="2" borderId="0" xfId="0" applyFont="1" applyFill="1" applyBorder="1" applyProtection="1">
      <protection locked="0"/>
    </xf>
    <xf numFmtId="0" fontId="22" fillId="2" borderId="0" xfId="0" applyFont="1" applyFill="1" applyBorder="1" applyAlignment="1" applyProtection="1">
      <alignment horizontal="center"/>
      <protection locked="0"/>
    </xf>
    <xf numFmtId="0" fontId="22" fillId="2" borderId="0" xfId="0" applyFont="1" applyFill="1" applyBorder="1" applyProtection="1">
      <protection locked="0"/>
    </xf>
    <xf numFmtId="0" fontId="22" fillId="12" borderId="1" xfId="0" applyFont="1" applyFill="1" applyBorder="1" applyAlignment="1" applyProtection="1">
      <alignment horizontal="left"/>
      <protection locked="0"/>
    </xf>
    <xf numFmtId="0" fontId="22" fillId="3" borderId="1" xfId="0" applyFont="1" applyFill="1" applyBorder="1" applyProtection="1">
      <protection locked="0"/>
    </xf>
    <xf numFmtId="0" fontId="21" fillId="3" borderId="0" xfId="0" applyFont="1" applyFill="1" applyBorder="1" applyAlignment="1" applyProtection="1">
      <alignment horizontal="center"/>
      <protection locked="0"/>
    </xf>
    <xf numFmtId="0" fontId="9" fillId="2" borderId="0" xfId="0" applyFont="1" applyFill="1" applyProtection="1">
      <protection locked="0"/>
    </xf>
    <xf numFmtId="0" fontId="21" fillId="2" borderId="0" xfId="0" applyNumberFormat="1" applyFont="1" applyFill="1" applyBorder="1" applyAlignment="1" applyProtection="1">
      <protection locked="0"/>
    </xf>
    <xf numFmtId="0" fontId="23" fillId="12" borderId="1" xfId="0" applyFont="1" applyFill="1" applyBorder="1" applyAlignment="1" applyProtection="1">
      <alignment horizontal="center"/>
      <protection locked="0"/>
    </xf>
    <xf numFmtId="0" fontId="21" fillId="2" borderId="0" xfId="0" applyFont="1" applyFill="1" applyBorder="1" applyAlignment="1" applyProtection="1">
      <alignment vertical="center"/>
      <protection locked="0"/>
    </xf>
    <xf numFmtId="0" fontId="21" fillId="2" borderId="0" xfId="0" applyFont="1" applyFill="1" applyBorder="1" applyAlignment="1" applyProtection="1">
      <alignment horizontal="center" vertical="center"/>
      <protection locked="0"/>
    </xf>
    <xf numFmtId="0" fontId="22" fillId="12" borderId="4" xfId="0" applyFont="1" applyFill="1" applyBorder="1" applyAlignment="1" applyProtection="1">
      <alignment horizontal="left"/>
      <protection locked="0"/>
    </xf>
    <xf numFmtId="0" fontId="22" fillId="12" borderId="6" xfId="0" applyFont="1" applyFill="1" applyBorder="1" applyAlignment="1" applyProtection="1">
      <alignment horizontal="left"/>
      <protection locked="0"/>
    </xf>
    <xf numFmtId="164" fontId="22" fillId="3" borderId="1" xfId="0" applyNumberFormat="1" applyFont="1" applyFill="1" applyBorder="1" applyProtection="1">
      <protection locked="0"/>
    </xf>
    <xf numFmtId="0" fontId="22" fillId="3" borderId="1" xfId="0" applyFont="1" applyFill="1" applyBorder="1" applyAlignment="1" applyProtection="1">
      <alignment horizontal="right"/>
      <protection locked="0"/>
    </xf>
    <xf numFmtId="164" fontId="22" fillId="3" borderId="0" xfId="0" applyNumberFormat="1" applyFont="1" applyFill="1" applyProtection="1">
      <protection locked="0"/>
    </xf>
    <xf numFmtId="0" fontId="22" fillId="2" borderId="0" xfId="0" applyFont="1" applyFill="1" applyBorder="1" applyAlignment="1" applyProtection="1">
      <alignment horizontal="right"/>
      <protection locked="0"/>
    </xf>
    <xf numFmtId="0" fontId="25" fillId="2" borderId="0" xfId="0" applyFont="1" applyFill="1" applyProtection="1"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7" fillId="2" borderId="0" xfId="0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Alignment="1" applyProtection="1">
      <alignment horizontal="right"/>
      <protection locked="0"/>
    </xf>
    <xf numFmtId="0" fontId="16" fillId="2" borderId="0" xfId="0" applyFont="1" applyFill="1" applyProtection="1">
      <protection locked="0"/>
    </xf>
    <xf numFmtId="0" fontId="13" fillId="2" borderId="0" xfId="0" applyFont="1" applyFill="1" applyAlignment="1" applyProtection="1">
      <alignment horizontal="center"/>
      <protection locked="0"/>
    </xf>
    <xf numFmtId="0" fontId="22" fillId="2" borderId="0" xfId="0" applyFont="1" applyFill="1" applyProtection="1"/>
    <xf numFmtId="0" fontId="22" fillId="2" borderId="0" xfId="0" applyFont="1" applyFill="1" applyBorder="1" applyAlignment="1" applyProtection="1"/>
    <xf numFmtId="2" fontId="22" fillId="10" borderId="1" xfId="0" applyNumberFormat="1" applyFont="1" applyFill="1" applyBorder="1" applyAlignment="1" applyProtection="1">
      <alignment horizontal="center"/>
    </xf>
    <xf numFmtId="0" fontId="0" fillId="2" borderId="29" xfId="0" applyFill="1" applyBorder="1"/>
    <xf numFmtId="0" fontId="37" fillId="2" borderId="0" xfId="0" applyFont="1" applyFill="1" applyBorder="1"/>
    <xf numFmtId="0" fontId="3" fillId="2" borderId="0" xfId="0" applyFont="1" applyFill="1" applyBorder="1"/>
    <xf numFmtId="0" fontId="3" fillId="2" borderId="29" xfId="0" applyFont="1" applyFill="1" applyBorder="1"/>
    <xf numFmtId="0" fontId="0" fillId="2" borderId="0" xfId="0" applyFill="1" applyBorder="1" applyAlignment="1">
      <alignment vertical="top" wrapText="1"/>
    </xf>
    <xf numFmtId="0" fontId="0" fillId="2" borderId="29" xfId="0" applyFill="1" applyBorder="1" applyAlignment="1">
      <alignment vertical="top" wrapText="1"/>
    </xf>
    <xf numFmtId="0" fontId="3" fillId="2" borderId="0" xfId="0" applyFont="1" applyFill="1" applyBorder="1" applyAlignment="1">
      <alignment vertical="top" wrapText="1"/>
    </xf>
    <xf numFmtId="0" fontId="3" fillId="2" borderId="29" xfId="0" applyFont="1" applyFill="1" applyBorder="1" applyAlignment="1">
      <alignment vertical="top" wrapText="1"/>
    </xf>
    <xf numFmtId="0" fontId="3" fillId="2" borderId="30" xfId="0" applyFont="1" applyFill="1" applyBorder="1" applyAlignment="1">
      <alignment vertical="top" wrapText="1"/>
    </xf>
    <xf numFmtId="0" fontId="3" fillId="2" borderId="0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vertical="center" wrapText="1"/>
    </xf>
    <xf numFmtId="0" fontId="3" fillId="2" borderId="30" xfId="0" applyFont="1" applyFill="1" applyBorder="1" applyAlignment="1">
      <alignment vertical="center" wrapText="1"/>
    </xf>
    <xf numFmtId="0" fontId="0" fillId="2" borderId="30" xfId="0" applyFill="1" applyBorder="1"/>
    <xf numFmtId="0" fontId="37" fillId="2" borderId="30" xfId="0" applyFont="1" applyFill="1" applyBorder="1"/>
    <xf numFmtId="0" fontId="21" fillId="2" borderId="30" xfId="0" applyFont="1" applyFill="1" applyBorder="1" applyAlignment="1" applyProtection="1">
      <alignment horizontal="left"/>
      <protection locked="0"/>
    </xf>
    <xf numFmtId="0" fontId="37" fillId="2" borderId="30" xfId="0" applyFont="1" applyFill="1" applyBorder="1" applyAlignment="1"/>
    <xf numFmtId="0" fontId="27" fillId="2" borderId="0" xfId="0" applyFont="1" applyFill="1" applyBorder="1" applyAlignment="1" applyProtection="1">
      <protection locked="0"/>
    </xf>
    <xf numFmtId="0" fontId="29" fillId="2" borderId="0" xfId="0" applyFont="1" applyFill="1" applyProtection="1">
      <protection locked="0"/>
    </xf>
    <xf numFmtId="0" fontId="12" fillId="2" borderId="0" xfId="0" applyFont="1" applyFill="1" applyProtection="1">
      <protection locked="0"/>
    </xf>
    <xf numFmtId="2" fontId="29" fillId="10" borderId="1" xfId="0" applyNumberFormat="1" applyFont="1" applyFill="1" applyBorder="1" applyProtection="1"/>
    <xf numFmtId="0" fontId="29" fillId="10" borderId="1" xfId="0" applyFont="1" applyFill="1" applyBorder="1" applyProtection="1"/>
    <xf numFmtId="0" fontId="13" fillId="2" borderId="0" xfId="0" applyFont="1" applyFill="1" applyProtection="1"/>
    <xf numFmtId="0" fontId="26" fillId="2" borderId="0" xfId="0" applyFont="1" applyFill="1" applyProtection="1"/>
    <xf numFmtId="0" fontId="0" fillId="2" borderId="0" xfId="0" applyFill="1" applyAlignment="1">
      <alignment wrapText="1"/>
    </xf>
    <xf numFmtId="0" fontId="0" fillId="2" borderId="30" xfId="0" applyFill="1" applyBorder="1" applyAlignment="1">
      <alignment wrapText="1"/>
    </xf>
    <xf numFmtId="0" fontId="9" fillId="2" borderId="0" xfId="0" applyFont="1" applyFill="1" applyProtection="1"/>
    <xf numFmtId="0" fontId="4" fillId="2" borderId="0" xfId="0" applyFont="1" applyFill="1" applyProtection="1"/>
    <xf numFmtId="0" fontId="0" fillId="2" borderId="0" xfId="0" applyFill="1" applyProtection="1"/>
    <xf numFmtId="166" fontId="22" fillId="10" borderId="1" xfId="0" applyNumberFormat="1" applyFon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34" fillId="14" borderId="0" xfId="0" applyFont="1" applyFill="1" applyAlignment="1">
      <alignment horizontal="center"/>
    </xf>
    <xf numFmtId="0" fontId="35" fillId="14" borderId="0" xfId="0" applyFont="1" applyFill="1" applyAlignment="1">
      <alignment horizontal="center"/>
    </xf>
    <xf numFmtId="0" fontId="36" fillId="14" borderId="0" xfId="0" applyFont="1" applyFill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20" fillId="3" borderId="0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left" wrapText="1"/>
    </xf>
    <xf numFmtId="0" fontId="3" fillId="2" borderId="29" xfId="0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left" vertical="top" wrapText="1"/>
    </xf>
    <xf numFmtId="0" fontId="3" fillId="2" borderId="29" xfId="0" applyFont="1" applyFill="1" applyBorder="1" applyAlignment="1">
      <alignment horizontal="left" vertical="top" wrapText="1"/>
    </xf>
    <xf numFmtId="0" fontId="41" fillId="2" borderId="0" xfId="0" applyFont="1" applyFill="1" applyAlignment="1">
      <alignment horizontal="center" vertical="center"/>
    </xf>
    <xf numFmtId="0" fontId="2" fillId="2" borderId="3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37" fillId="2" borderId="30" xfId="0" applyFont="1" applyFill="1" applyBorder="1" applyAlignment="1">
      <alignment horizontal="left" vertical="top" wrapText="1"/>
    </xf>
    <xf numFmtId="0" fontId="37" fillId="2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top" wrapText="1"/>
    </xf>
    <xf numFmtId="0" fontId="21" fillId="2" borderId="2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 applyBorder="1" applyAlignment="1" applyProtection="1">
      <alignment horizontal="center" vertical="center" wrapText="1"/>
      <protection locked="0"/>
    </xf>
    <xf numFmtId="0" fontId="22" fillId="12" borderId="4" xfId="0" applyFont="1" applyFill="1" applyBorder="1" applyAlignment="1" applyProtection="1">
      <alignment horizontal="left"/>
      <protection locked="0"/>
    </xf>
    <xf numFmtId="0" fontId="22" fillId="12" borderId="6" xfId="0" applyFont="1" applyFill="1" applyBorder="1" applyAlignment="1" applyProtection="1">
      <alignment horizontal="left"/>
      <protection locked="0"/>
    </xf>
    <xf numFmtId="0" fontId="7" fillId="0" borderId="28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left"/>
    </xf>
    <xf numFmtId="0" fontId="8" fillId="0" borderId="18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8" fillId="0" borderId="15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8" fillId="0" borderId="5" xfId="0" applyFont="1" applyFill="1" applyBorder="1" applyAlignment="1">
      <alignment horizontal="left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21" fillId="2" borderId="2" xfId="0" applyFont="1" applyFill="1" applyBorder="1" applyAlignment="1" applyProtection="1">
      <alignment horizontal="center"/>
      <protection locked="0"/>
    </xf>
    <xf numFmtId="0" fontId="22" fillId="12" borderId="1" xfId="0" applyFont="1" applyFill="1" applyBorder="1" applyAlignment="1" applyProtection="1">
      <alignment horizontal="left"/>
      <protection locked="0"/>
    </xf>
    <xf numFmtId="0" fontId="21" fillId="12" borderId="1" xfId="0" applyFont="1" applyFill="1" applyBorder="1" applyAlignment="1" applyProtection="1">
      <alignment horizontal="center" vertical="center" wrapText="1"/>
      <protection locked="0"/>
    </xf>
    <xf numFmtId="0" fontId="21" fillId="12" borderId="1" xfId="0" applyFont="1" applyFill="1" applyBorder="1" applyAlignment="1" applyProtection="1">
      <alignment horizontal="center" vertical="center"/>
      <protection locked="0"/>
    </xf>
    <xf numFmtId="0" fontId="27" fillId="12" borderId="1" xfId="0" applyFont="1" applyFill="1" applyBorder="1" applyAlignment="1" applyProtection="1">
      <alignment horizontal="center" vertical="center" wrapText="1"/>
      <protection locked="0"/>
    </xf>
    <xf numFmtId="0" fontId="27" fillId="12" borderId="1" xfId="0" applyFont="1" applyFill="1" applyBorder="1" applyAlignment="1" applyProtection="1">
      <alignment horizontal="center" vertical="center"/>
      <protection locked="0"/>
    </xf>
    <xf numFmtId="0" fontId="21" fillId="12" borderId="1" xfId="0" applyFont="1" applyFill="1" applyBorder="1" applyAlignment="1" applyProtection="1">
      <alignment horizontal="center"/>
      <protection locked="0"/>
    </xf>
    <xf numFmtId="0" fontId="27" fillId="12" borderId="1" xfId="0" applyFont="1" applyFill="1" applyBorder="1" applyAlignment="1" applyProtection="1">
      <alignment horizontal="center"/>
      <protection locked="0"/>
    </xf>
    <xf numFmtId="0" fontId="29" fillId="12" borderId="1" xfId="0" applyFont="1" applyFill="1" applyBorder="1" applyAlignment="1" applyProtection="1">
      <alignment horizontal="left"/>
      <protection locked="0"/>
    </xf>
  </cellXfs>
  <cellStyles count="122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Normal" xfId="0" builtinId="0"/>
  </cellStyles>
  <dxfs count="0"/>
  <tableStyles count="0" defaultTableStyle="TableStyleMedium9" defaultPivotStyle="PivotStyleLight16"/>
  <colors>
    <mruColors>
      <color rgb="FFBC9800"/>
      <color rgb="FFFFCC00"/>
      <color rgb="FFFF6699"/>
      <color rgb="FFFF3399"/>
      <color rgb="FFFFBC37"/>
      <color rgb="FF00863D"/>
      <color rgb="FF3333CC"/>
      <color rgb="FFFF6600"/>
      <color rgb="FF0066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Relationship Id="rId11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5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6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3191386790937"/>
          <c:y val="0.128316244642082"/>
          <c:w val="0.725377363543843"/>
          <c:h val="0.65032043656413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'Met. Teoricos'!$E$20:$E$21</c:f>
              <c:numCache>
                <c:formatCode>General</c:formatCode>
                <c:ptCount val="2"/>
                <c:pt idx="0">
                  <c:v>50.0</c:v>
                </c:pt>
                <c:pt idx="1">
                  <c:v>0.0</c:v>
                </c:pt>
              </c:numCache>
            </c:numRef>
          </c:xVal>
          <c:yVal>
            <c:numRef>
              <c:f>'Met. Teoricos'!$F$20:$F$21</c:f>
              <c:numCache>
                <c:formatCode>General</c:formatCode>
                <c:ptCount val="2"/>
                <c:pt idx="0">
                  <c:v>0.0</c:v>
                </c:pt>
                <c:pt idx="1">
                  <c:v>31.0</c:v>
                </c:pt>
              </c:numCache>
            </c:numRef>
          </c:yVal>
          <c:smooth val="0"/>
        </c:ser>
        <c:ser>
          <c:idx val="1"/>
          <c:order val="1"/>
          <c:spPr>
            <a:ln w="19050" cap="rnd" cmpd="sng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'Met. Teoricos'!$E$22:$E$23</c:f>
              <c:numCache>
                <c:formatCode>General</c:formatCode>
                <c:ptCount val="2"/>
                <c:pt idx="0">
                  <c:v>100.0</c:v>
                </c:pt>
                <c:pt idx="1">
                  <c:v>0.0</c:v>
                </c:pt>
              </c:numCache>
            </c:numRef>
          </c:xVal>
          <c:yVal>
            <c:numRef>
              <c:f>'Met. Teoricos'!$F$22:$F$23</c:f>
              <c:numCache>
                <c:formatCode>General</c:formatCode>
                <c:ptCount val="2"/>
                <c:pt idx="0">
                  <c:v>0.0</c:v>
                </c:pt>
                <c:pt idx="1">
                  <c:v>35.0</c:v>
                </c:pt>
              </c:numCache>
            </c:numRef>
          </c:yVal>
          <c:smooth val="0"/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dPt>
            <c:idx val="0"/>
            <c:marker>
              <c:spPr>
                <a:solidFill>
                  <a:schemeClr val="tx1"/>
                </a:solidFill>
                <a:ln w="952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tx1">
                    <a:alpha val="96000"/>
                  </a:schemeClr>
                </a:solidFill>
                <a:round/>
              </a:ln>
              <a:effectLst/>
            </c:spPr>
          </c:dPt>
          <c:xVal>
            <c:numRef>
              <c:f>'Met. Teoricos'!$B$5</c:f>
              <c:numCache>
                <c:formatCode>0</c:formatCode>
                <c:ptCount val="1"/>
                <c:pt idx="0">
                  <c:v>0.0</c:v>
                </c:pt>
              </c:numCache>
            </c:numRef>
          </c:xVal>
          <c:yVal>
            <c:numRef>
              <c:f>'Met. Teoricos'!$B$4</c:f>
              <c:numCache>
                <c:formatCode>0</c:formatCode>
                <c:ptCount val="1"/>
                <c:pt idx="0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2773976"/>
        <c:axId val="2122789352"/>
      </c:scatterChart>
      <c:valAx>
        <c:axId val="2122773976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sz="1000"/>
                </a:pPr>
                <a:r>
                  <a:rPr lang="pt-BR" sz="1200"/>
                  <a:t>c (kPa)</a:t>
                </a:r>
              </a:p>
            </c:rich>
          </c:tx>
          <c:layout>
            <c:manualLayout>
              <c:xMode val="edge"/>
              <c:yMode val="edge"/>
              <c:x val="0.504198803794027"/>
              <c:y val="0.87405136237024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2789352"/>
        <c:crosses val="autoZero"/>
        <c:crossBetween val="midCat"/>
        <c:majorUnit val="25.0"/>
      </c:valAx>
      <c:valAx>
        <c:axId val="212278935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l-G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ϕ</a:t>
                </a:r>
                <a:r>
                  <a:rPr lang="pt-BR" sz="1200"/>
                  <a:t> (graus)</a:t>
                </a:r>
              </a:p>
            </c:rich>
          </c:tx>
          <c:layout>
            <c:manualLayout>
              <c:xMode val="edge"/>
              <c:yMode val="edge"/>
              <c:x val="0.0607275241489955"/>
              <c:y val="0.32708011920966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2773976"/>
        <c:crosses val="autoZero"/>
        <c:crossBetween val="midCat"/>
        <c:majorUnit val="10.0"/>
      </c:valAx>
      <c:spPr>
        <a:solidFill>
          <a:sysClr val="window" lastClr="FFFFFF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Trebuchet MS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87401575" l="0.511811024" r="0.511811024" t="0.787401575" header="0.314960620000001" footer="0.31496062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100"/>
            </a:pPr>
            <a:r>
              <a:rPr lang="pt-BR" sz="1100"/>
              <a:t>Tensao x Recalque - Ensaio</a:t>
            </a:r>
          </a:p>
        </c:rich>
      </c:tx>
      <c:layout>
        <c:manualLayout>
          <c:xMode val="edge"/>
          <c:yMode val="edge"/>
          <c:x val="0.305438822666058"/>
          <c:y val="0.010839898614538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96371374294326"/>
          <c:y val="0.262488077547691"/>
          <c:w val="0.725377363543843"/>
          <c:h val="0.65032043656413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'Prova de Carga'!$A$5:$A$13</c:f>
              <c:numCache>
                <c:formatCode>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xVal>
          <c:yVal>
            <c:numRef>
              <c:f>'Prova de Carga'!$B$5:$B$13</c:f>
              <c:numCache>
                <c:formatCode>0.00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901832"/>
        <c:axId val="2121910328"/>
      </c:scatterChart>
      <c:valAx>
        <c:axId val="2121901832"/>
        <c:scaling>
          <c:orientation val="minMax"/>
        </c:scaling>
        <c:delete val="0"/>
        <c:axPos val="t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  <a:prstDash val="dash"/>
            </a:ln>
          </c:spPr>
        </c:majorGridlines>
        <c:title>
          <c:tx>
            <c:rich>
              <a:bodyPr rot="0" vert="horz"/>
              <a:lstStyle/>
              <a:p>
                <a:pPr>
                  <a:defRPr sz="1000"/>
                </a:pPr>
                <a:r>
                  <a:rPr lang="el-GR" sz="1000"/>
                  <a:t>σ</a:t>
                </a:r>
                <a:r>
                  <a:rPr lang="pt-BR" sz="1000"/>
                  <a:t> (kPa)</a:t>
                </a:r>
              </a:p>
            </c:rich>
          </c:tx>
          <c:layout>
            <c:manualLayout>
              <c:xMode val="edge"/>
              <c:yMode val="edge"/>
              <c:x val="0.446227789301273"/>
              <c:y val="0.1109483850668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910328"/>
        <c:crosses val="autoZero"/>
        <c:crossBetween val="midCat"/>
      </c:valAx>
      <c:valAx>
        <c:axId val="2121910328"/>
        <c:scaling>
          <c:orientation val="maxMin"/>
        </c:scaling>
        <c:delete val="0"/>
        <c:axPos val="l"/>
        <c:majorGridlines>
          <c:spPr>
            <a:ln>
              <a:solidFill>
                <a:schemeClr val="tx1">
                  <a:lumMod val="50000"/>
                  <a:lumOff val="50000"/>
                </a:schemeClr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l-GR" sz="1000"/>
                  <a:t>ρ</a:t>
                </a:r>
                <a:r>
                  <a:rPr lang="pt-BR" sz="1000"/>
                  <a:t> (mm)</a:t>
                </a:r>
              </a:p>
            </c:rich>
          </c:tx>
          <c:layout>
            <c:manualLayout>
              <c:xMode val="edge"/>
              <c:yMode val="edge"/>
              <c:x val="0.0368571064166852"/>
              <c:y val="0.48640931227300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901832"/>
        <c:crosses val="autoZero"/>
        <c:crossBetween val="midCat"/>
      </c:valAx>
      <c:spPr>
        <a:solidFill>
          <a:sysClr val="window" lastClr="FFFFFF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Trebuchet MS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87401575" l="0.511811024" r="0.511811024" t="0.787401575" header="0.314960620000001" footer="0.31496062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100"/>
            </a:pPr>
            <a:r>
              <a:rPr lang="pt-BR" sz="1100"/>
              <a:t>Método de</a:t>
            </a:r>
            <a:r>
              <a:rPr lang="pt-BR" sz="1100" baseline="0"/>
              <a:t> Van Der Veen (1953)</a:t>
            </a:r>
            <a:endParaRPr lang="pt-BR" sz="1100"/>
          </a:p>
        </c:rich>
      </c:tx>
      <c:layout>
        <c:manualLayout>
          <c:xMode val="edge"/>
          <c:yMode val="edge"/>
          <c:x val="0.198563312919218"/>
          <c:y val="0.010840063665647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8995011119793"/>
          <c:y val="0.262488077547691"/>
          <c:w val="0.697340799066784"/>
          <c:h val="0.650320436564139"/>
        </c:manualLayout>
      </c:layout>
      <c:scatterChart>
        <c:scatterStyle val="lineMarker"/>
        <c:varyColors val="0"/>
        <c:ser>
          <c:idx val="0"/>
          <c:order val="0"/>
          <c:tx>
            <c:strRef>
              <c:f>'Prova de Carga'!$K$4</c:f>
              <c:strCache>
                <c:ptCount val="1"/>
                <c:pt idx="0">
                  <c:v>550</c:v>
                </c:pt>
              </c:strCache>
            </c:strRef>
          </c:tx>
          <c:spPr>
            <a:ln w="127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66FF"/>
              </a:solidFill>
              <a:ln>
                <a:solidFill>
                  <a:srgbClr val="0099FF"/>
                </a:solidFill>
              </a:ln>
            </c:spPr>
          </c:marker>
          <c:trendline>
            <c:spPr>
              <a:ln>
                <a:solidFill>
                  <a:srgbClr val="0066FF"/>
                </a:solidFill>
              </a:ln>
            </c:spPr>
            <c:trendlineType val="linear"/>
            <c:intercept val="0.0"/>
            <c:dispRSqr val="1"/>
            <c:dispEq val="0"/>
            <c:trendlineLbl>
              <c:layout>
                <c:manualLayout>
                  <c:x val="0.102025148908008"/>
                  <c:y val="-0.0643907800243899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>
                      <a:solidFill>
                        <a:srgbClr val="0066FF"/>
                      </a:solidFill>
                    </a:defRPr>
                  </a:pPr>
                  <a:endParaRPr lang="en-US"/>
                </a:p>
              </c:txPr>
            </c:trendlineLbl>
          </c:trendline>
          <c:xVal>
            <c:numRef>
              <c:f>'Prova de Carga'!$K$5:$K$13</c:f>
              <c:numCache>
                <c:formatCode>0.000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xVal>
          <c:yVal>
            <c:numRef>
              <c:f>'Prova de Carga'!$N$5:$N$13</c:f>
              <c:numCache>
                <c:formatCode>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'Prova de Carga'!$L$4</c:f>
              <c:strCache>
                <c:ptCount val="1"/>
                <c:pt idx="0">
                  <c:v>625</c:v>
                </c:pt>
              </c:strCache>
            </c:strRef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spPr>
              <a:ln>
                <a:solidFill>
                  <a:srgbClr val="FF0000"/>
                </a:solidFill>
              </a:ln>
            </c:spPr>
            <c:trendlineType val="linear"/>
            <c:intercept val="0.0"/>
            <c:dispRSqr val="1"/>
            <c:dispEq val="0"/>
            <c:trendlineLbl>
              <c:layout>
                <c:manualLayout>
                  <c:x val="0.115702244267925"/>
                  <c:y val="0.0664038912507276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>
                      <a:solidFill>
                        <a:srgbClr val="FF0000"/>
                      </a:solidFill>
                    </a:defRPr>
                  </a:pPr>
                  <a:endParaRPr lang="en-US"/>
                </a:p>
              </c:txPr>
            </c:trendlineLbl>
          </c:trendline>
          <c:xVal>
            <c:numRef>
              <c:f>'Prova de Carga'!$L$5:$L$13</c:f>
              <c:numCache>
                <c:formatCode>0.000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xVal>
          <c:yVal>
            <c:numRef>
              <c:f>'Prova de Carga'!$N$5:$N$13</c:f>
              <c:numCache>
                <c:formatCode>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'Prova de Carga'!$M$4</c:f>
              <c:strCache>
                <c:ptCount val="1"/>
                <c:pt idx="0">
                  <c:v>650</c:v>
                </c:pt>
              </c:strCache>
            </c:strRef>
          </c:tx>
          <c:spPr>
            <a:ln w="28575">
              <a:noFill/>
            </a:ln>
          </c:spPr>
          <c:marker>
            <c:symbol val="triangle"/>
            <c:size val="5"/>
            <c:spPr>
              <a:solidFill>
                <a:srgbClr val="33CC33"/>
              </a:solidFill>
              <a:ln>
                <a:solidFill>
                  <a:srgbClr val="33CC33"/>
                </a:solidFill>
              </a:ln>
            </c:spPr>
          </c:marker>
          <c:trendline>
            <c:spPr>
              <a:ln>
                <a:solidFill>
                  <a:srgbClr val="33CC33"/>
                </a:solidFill>
              </a:ln>
            </c:spPr>
            <c:trendlineType val="linear"/>
            <c:intercept val="0.0"/>
            <c:dispRSqr val="1"/>
            <c:dispEq val="0"/>
            <c:trendlineLbl>
              <c:layout>
                <c:manualLayout>
                  <c:x val="-0.0546616254465989"/>
                  <c:y val="-0.031481877047121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>
                      <a:solidFill>
                        <a:srgbClr val="33CC33"/>
                      </a:solidFill>
                    </a:defRPr>
                  </a:pPr>
                  <a:endParaRPr lang="en-US"/>
                </a:p>
              </c:txPr>
            </c:trendlineLbl>
          </c:trendline>
          <c:xVal>
            <c:numRef>
              <c:f>'Prova de Carga'!$M$5:$M$13</c:f>
              <c:numCache>
                <c:formatCode>0.000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xVal>
          <c:yVal>
            <c:numRef>
              <c:f>'Prova de Carga'!$N$5:$N$13</c:f>
              <c:numCache>
                <c:formatCode>0</c:formatCode>
                <c:ptCount val="9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974488"/>
        <c:axId val="2121981816"/>
      </c:scatterChart>
      <c:valAx>
        <c:axId val="2121974488"/>
        <c:scaling>
          <c:orientation val="minMax"/>
        </c:scaling>
        <c:delete val="0"/>
        <c:axPos val="t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  <a:prstDash val="dash"/>
            </a:ln>
          </c:spPr>
        </c:majorGridlines>
        <c:title>
          <c:tx>
            <c:rich>
              <a:bodyPr rot="0" vert="horz"/>
              <a:lstStyle/>
              <a:p>
                <a:pPr>
                  <a:defRPr sz="1000" b="1"/>
                </a:pPr>
                <a:r>
                  <a:rPr lang="pt-BR" sz="1000" b="1" i="0" baseline="0">
                    <a:latin typeface="Trebuchet MS" pitchFamily="34" charset="0"/>
                  </a:rPr>
                  <a:t>-ln(1 - </a:t>
                </a:r>
                <a:r>
                  <a:rPr lang="el-GR" sz="1000" b="1" i="0" baseline="0">
                    <a:latin typeface="Trebuchet MS" pitchFamily="34" charset="0"/>
                  </a:rPr>
                  <a:t>σ</a:t>
                </a:r>
                <a:r>
                  <a:rPr lang="pt-BR" sz="1000" b="1" i="0" baseline="0">
                    <a:latin typeface="Trebuchet MS" pitchFamily="34" charset="0"/>
                  </a:rPr>
                  <a:t>/</a:t>
                </a:r>
                <a:r>
                  <a:rPr lang="el-GR" sz="1000" b="1" i="0" baseline="0">
                    <a:latin typeface="Trebuchet MS" pitchFamily="34" charset="0"/>
                  </a:rPr>
                  <a:t>σ</a:t>
                </a:r>
                <a:r>
                  <a:rPr lang="pt-BR" sz="1000" b="1" i="0" baseline="-25000">
                    <a:latin typeface="Trebuchet MS" pitchFamily="34" charset="0"/>
                  </a:rPr>
                  <a:t>R</a:t>
                </a:r>
                <a:r>
                  <a:rPr lang="pt-BR" sz="1000" b="1" i="0" baseline="0">
                    <a:latin typeface="Trebuchet MS" pitchFamily="34" charset="0"/>
                  </a:rPr>
                  <a:t>)</a:t>
                </a:r>
                <a:endParaRPr lang="pt-BR" sz="1000" b="1">
                  <a:latin typeface="Trebuchet MS" pitchFamily="34" charset="0"/>
                </a:endParaRPr>
              </a:p>
            </c:rich>
          </c:tx>
          <c:layout>
            <c:manualLayout>
              <c:xMode val="edge"/>
              <c:yMode val="edge"/>
              <c:x val="0.326635010318367"/>
              <c:y val="0.110948385066899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.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981816"/>
        <c:crosses val="autoZero"/>
        <c:crossBetween val="midCat"/>
      </c:valAx>
      <c:valAx>
        <c:axId val="2121981816"/>
        <c:scaling>
          <c:orientation val="maxMin"/>
        </c:scaling>
        <c:delete val="0"/>
        <c:axPos val="l"/>
        <c:majorGridlines>
          <c:spPr>
            <a:ln>
              <a:solidFill>
                <a:schemeClr val="tx1">
                  <a:lumMod val="50000"/>
                  <a:lumOff val="50000"/>
                </a:schemeClr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l-GR" sz="1000"/>
                  <a:t>ρ</a:t>
                </a:r>
                <a:r>
                  <a:rPr lang="pt-BR" sz="1000"/>
                  <a:t> (x10</a:t>
                </a:r>
                <a:r>
                  <a:rPr lang="pt-BR" sz="1000" baseline="30000"/>
                  <a:t>-3</a:t>
                </a:r>
                <a:r>
                  <a:rPr lang="pt-BR" sz="1000"/>
                  <a:t>mm)</a:t>
                </a:r>
              </a:p>
            </c:rich>
          </c:tx>
          <c:layout>
            <c:manualLayout>
              <c:xMode val="edge"/>
              <c:yMode val="edge"/>
              <c:x val="0.00551997666958297"/>
              <c:y val="0.410937589243002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974488"/>
        <c:crosses val="autoZero"/>
        <c:crossBetween val="midCat"/>
      </c:valAx>
      <c:spPr>
        <a:solidFill>
          <a:sysClr val="window" lastClr="FFFFFF"/>
        </a:solidFill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877579935841353"/>
          <c:y val="0.410753697074464"/>
          <c:w val="0.100690045902853"/>
          <c:h val="0.205602999588306"/>
        </c:manualLayout>
      </c:layout>
      <c:overlay val="0"/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Trebuchet MS" pitchFamily="34" charset="0"/>
          <a:ea typeface="Verdana" pitchFamily="34" charset="0"/>
          <a:cs typeface="Verdana" pitchFamily="34" charset="0"/>
        </a:defRPr>
      </a:pPr>
      <a:endParaRPr lang="en-US"/>
    </a:p>
  </c:txPr>
  <c:printSettings>
    <c:headerFooter/>
    <c:pageMargins b="0.787401575" l="0.511811024" r="0.511811024" t="0.787401575" header="0.314960620000001" footer="0.31496062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pt-BR" sz="1000" b="1"/>
              <a:t>Capacidade de Carga - Métodos</a:t>
            </a:r>
            <a:r>
              <a:rPr lang="pt-BR" sz="1000" b="1" baseline="0"/>
              <a:t> Teóricos x Prova de Carga</a:t>
            </a:r>
            <a:endParaRPr lang="pt-BR" sz="10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6243986800597"/>
          <c:y val="0.145722098262966"/>
          <c:w val="0.867497801477811"/>
          <c:h val="0.624237999968216"/>
        </c:manualLayout>
      </c:layout>
      <c:barChart>
        <c:barDir val="col"/>
        <c:grouping val="clustered"/>
        <c:varyColors val="0"/>
        <c:ser>
          <c:idx val="0"/>
          <c:order val="0"/>
          <c:tx>
            <c:v>Métodos Teóricos</c:v>
          </c:tx>
          <c:spPr>
            <a:solidFill>
              <a:srgbClr val="3333CC"/>
            </a:solidFill>
            <a:ln>
              <a:noFill/>
            </a:ln>
            <a:effectLst/>
          </c:spPr>
          <c:invertIfNegative val="0"/>
          <c:cat>
            <c:strRef>
              <c:f>Gráficos!$B$3:$C$6</c:f>
              <c:strCache>
                <c:ptCount val="4"/>
                <c:pt idx="0">
                  <c:v>TERZAGHI (1943)</c:v>
                </c:pt>
                <c:pt idx="1">
                  <c:v>MEYERHOF (1963)</c:v>
                </c:pt>
                <c:pt idx="2">
                  <c:v>BRINCH-HANSEN (1961)</c:v>
                </c:pt>
                <c:pt idx="3">
                  <c:v>VÉSIC (1975)</c:v>
                </c:pt>
              </c:strCache>
            </c:strRef>
          </c:cat>
          <c:val>
            <c:numRef>
              <c:f>Gráficos!$D$3:$D$6</c:f>
              <c:numCache>
                <c:formatCode>0.00</c:formatCode>
                <c:ptCount val="4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ser>
          <c:idx val="1"/>
          <c:order val="1"/>
          <c:tx>
            <c:v>Prova de Carga</c:v>
          </c:tx>
          <c:spPr>
            <a:solidFill>
              <a:srgbClr val="00863D"/>
            </a:solidFill>
            <a:ln>
              <a:noFill/>
            </a:ln>
            <a:effectLst/>
          </c:spPr>
          <c:invertIfNegative val="0"/>
          <c:val>
            <c:numRef>
              <c:f>Gráficos!$A$9:$D$9</c:f>
              <c:numCache>
                <c:formatCode>General</c:formatCode>
                <c:ptCount val="4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028184"/>
        <c:axId val="2122031768"/>
      </c:barChart>
      <c:catAx>
        <c:axId val="2122028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031768"/>
        <c:crosses val="autoZero"/>
        <c:auto val="1"/>
        <c:lblAlgn val="ctr"/>
        <c:lblOffset val="20"/>
        <c:tickLblSkip val="1"/>
        <c:noMultiLvlLbl val="0"/>
      </c:catAx>
      <c:valAx>
        <c:axId val="2122031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02818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7270611964636"/>
          <c:y val="0.906064994473397"/>
          <c:w val="0.506322902781018"/>
          <c:h val="0.07018971683302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87401575" l="0.511811024" r="0.511811024" t="0.787401575" header="0.31496062" footer="0.3149606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pt-BR" sz="1000" b="1"/>
              <a:t>Tensão</a:t>
            </a:r>
            <a:r>
              <a:rPr lang="pt-BR" sz="1000" b="1" baseline="0"/>
              <a:t> Admissível - Métodos Teóricos x Prova de Carga</a:t>
            </a:r>
          </a:p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pt-BR" sz="10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6243986800597"/>
          <c:y val="0.145722098262966"/>
          <c:w val="0.867497801477811"/>
          <c:h val="0.624237999968216"/>
        </c:manualLayout>
      </c:layout>
      <c:barChart>
        <c:barDir val="col"/>
        <c:grouping val="clustered"/>
        <c:varyColors val="0"/>
        <c:ser>
          <c:idx val="0"/>
          <c:order val="0"/>
          <c:tx>
            <c:v>Métodos Teóricos</c:v>
          </c:tx>
          <c:spPr>
            <a:solidFill>
              <a:srgbClr val="BC9800"/>
            </a:solidFill>
            <a:ln>
              <a:noFill/>
            </a:ln>
            <a:effectLst/>
          </c:spPr>
          <c:invertIfNegative val="0"/>
          <c:cat>
            <c:strRef>
              <c:f>Gráficos!$B$3:$C$6</c:f>
              <c:strCache>
                <c:ptCount val="4"/>
                <c:pt idx="0">
                  <c:v>TERZAGHI (1943)</c:v>
                </c:pt>
                <c:pt idx="1">
                  <c:v>MEYERHOF (1963)</c:v>
                </c:pt>
                <c:pt idx="2">
                  <c:v>BRINCH-HANSEN (1961)</c:v>
                </c:pt>
                <c:pt idx="3">
                  <c:v>VÉSIC (1975)</c:v>
                </c:pt>
              </c:strCache>
            </c:strRef>
          </c:cat>
          <c:val>
            <c:numRef>
              <c:f>Gráficos!$I$3:$I$6</c:f>
              <c:numCache>
                <c:formatCode>0.00</c:formatCode>
                <c:ptCount val="4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ser>
          <c:idx val="1"/>
          <c:order val="1"/>
          <c:tx>
            <c:v>Prova de Carga</c:v>
          </c:tx>
          <c:spPr>
            <a:solidFill>
              <a:srgbClr val="FF6600"/>
            </a:solidFill>
            <a:ln>
              <a:noFill/>
            </a:ln>
            <a:effectLst/>
          </c:spPr>
          <c:invertIfNegative val="0"/>
          <c:val>
            <c:numRef>
              <c:f>Gráficos!$F$11:$I$11</c:f>
              <c:numCache>
                <c:formatCode>General</c:formatCode>
                <c:ptCount val="4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070536"/>
        <c:axId val="2122074120"/>
      </c:barChart>
      <c:catAx>
        <c:axId val="2122070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074120"/>
        <c:crosses val="autoZero"/>
        <c:auto val="1"/>
        <c:lblAlgn val="ctr"/>
        <c:lblOffset val="20"/>
        <c:tickLblSkip val="1"/>
        <c:noMultiLvlLbl val="0"/>
      </c:catAx>
      <c:valAx>
        <c:axId val="212207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07053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7270611964636"/>
          <c:y val="0.923241588456247"/>
          <c:w val="0.562470653158649"/>
          <c:h val="0.07512122516452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87401575" l="0.511811024" r="0.511811024" t="0.787401575" header="0.31496062" footer="0.3149606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r>
              <a:rPr lang="pt-BR" sz="1000" b="1"/>
              <a:t>Tensão</a:t>
            </a:r>
            <a:r>
              <a:rPr lang="pt-BR" sz="1000" b="1" baseline="0"/>
              <a:t> Admissível - Métodos Semi-Emp. x Prova de Carga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6243986800597"/>
          <c:y val="0.145722098262966"/>
          <c:w val="0.867497801477811"/>
          <c:h val="0.624237999968216"/>
        </c:manualLayout>
      </c:layout>
      <c:barChart>
        <c:barDir val="col"/>
        <c:grouping val="clustered"/>
        <c:varyColors val="0"/>
        <c:ser>
          <c:idx val="0"/>
          <c:order val="0"/>
          <c:tx>
            <c:v>Métodos Semi-empíricos</c:v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Gráficos!$G$7:$H$9</c:f>
              <c:strCache>
                <c:ptCount val="3"/>
                <c:pt idx="0">
                  <c:v>TERZAGHI E PECK (1967)</c:v>
                </c:pt>
                <c:pt idx="1">
                  <c:v>MEYERHOF (1965)</c:v>
                </c:pt>
                <c:pt idx="2">
                  <c:v>TEIXEIRA (1996)</c:v>
                </c:pt>
              </c:strCache>
            </c:strRef>
          </c:cat>
          <c:val>
            <c:numRef>
              <c:f>Gráficos!$I$7:$I$9</c:f>
              <c:numCache>
                <c:formatCode>0.00</c:formatCode>
                <c:ptCount val="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ser>
          <c:idx val="1"/>
          <c:order val="1"/>
          <c:tx>
            <c:v>Prova de Carga</c:v>
          </c:tx>
          <c:spPr>
            <a:solidFill>
              <a:srgbClr val="FF6600"/>
            </a:solidFill>
            <a:ln>
              <a:noFill/>
            </a:ln>
            <a:effectLst/>
          </c:spPr>
          <c:invertIfNegative val="0"/>
          <c:val>
            <c:numRef>
              <c:f>Gráficos!$F$11:$H$11</c:f>
              <c:numCache>
                <c:formatCode>General</c:formatCode>
                <c:ptCount val="3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22110504"/>
        <c:axId val="2122114088"/>
      </c:barChart>
      <c:catAx>
        <c:axId val="2122110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114088"/>
        <c:crosses val="autoZero"/>
        <c:auto val="1"/>
        <c:lblAlgn val="ctr"/>
        <c:lblOffset val="20"/>
        <c:tickLblSkip val="1"/>
        <c:noMultiLvlLbl val="0"/>
      </c:catAx>
      <c:valAx>
        <c:axId val="212211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en-US"/>
          </a:p>
        </c:txPr>
        <c:crossAx val="21221105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45519205818588"/>
          <c:y val="0.867417658011985"/>
          <c:w val="0.599797944703489"/>
          <c:h val="0.07018971683302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rebuchet MS" panose="020B0603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rebuchet MS" panose="020B0603020202020204" pitchFamily="34" charset="0"/>
        </a:defRPr>
      </a:pPr>
      <a:endParaRPr lang="en-US"/>
    </a:p>
  </c:txPr>
  <c:printSettings>
    <c:headerFooter/>
    <c:pageMargins b="0.787401575" l="0.511811024" r="0.511811024" t="0.787401575" header="0.31496062" footer="0.3149606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SemiEmp!B4"/><Relationship Id="rId4" Type="http://schemas.openxmlformats.org/officeDocument/2006/relationships/hyperlink" Target="#'Prova de Carga'!A1"/><Relationship Id="rId1" Type="http://schemas.openxmlformats.org/officeDocument/2006/relationships/hyperlink" Target="#Tutorial!A1"/><Relationship Id="rId2" Type="http://schemas.openxmlformats.org/officeDocument/2006/relationships/hyperlink" Target="#'Met. Teoricos'!B4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Relationship Id="rId3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171450</xdr:rowOff>
    </xdr:from>
    <xdr:to>
      <xdr:col>11</xdr:col>
      <xdr:colOff>635000</xdr:colOff>
      <xdr:row>9</xdr:row>
      <xdr:rowOff>47625</xdr:rowOff>
    </xdr:to>
    <xdr:sp macro="" textlink="">
      <xdr:nvSpPr>
        <xdr:cNvPr id="4" name="Retângulo de cantos arredondados 3"/>
        <xdr:cNvSpPr/>
      </xdr:nvSpPr>
      <xdr:spPr>
        <a:xfrm>
          <a:off x="152400" y="349250"/>
          <a:ext cx="8026400" cy="1387475"/>
        </a:xfrm>
        <a:prstGeom prst="roundRect">
          <a:avLst/>
        </a:prstGeom>
        <a:solidFill>
          <a:srgbClr val="FFFF00"/>
        </a:solid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3000">
              <a:solidFill>
                <a:schemeClr val="accent6">
                  <a:lumMod val="75000"/>
                </a:schemeClr>
              </a:solidFill>
              <a:latin typeface="Bauhaus 93" pitchFamily="82" charset="0"/>
              <a:ea typeface="+mn-ea"/>
              <a:cs typeface="+mn-cs"/>
            </a:rPr>
            <a:t>PREVISÃO DE CAPACIDADE DE CARGA E TENSÃO ADMISSÍVEL PARA SAPATAS ISOLADAS</a:t>
          </a:r>
          <a:endParaRPr lang="pt-BR" sz="3000">
            <a:solidFill>
              <a:schemeClr val="accent6">
                <a:lumMod val="75000"/>
              </a:schemeClr>
            </a:solidFill>
            <a:latin typeface="Bauhaus 93" pitchFamily="82" charset="0"/>
          </a:endParaRPr>
        </a:p>
        <a:p>
          <a:pPr algn="ctr"/>
          <a:endParaRPr lang="pt-BR" sz="1100"/>
        </a:p>
      </xdr:txBody>
    </xdr:sp>
    <xdr:clientData/>
  </xdr:twoCellAnchor>
  <xdr:twoCellAnchor>
    <xdr:from>
      <xdr:col>0</xdr:col>
      <xdr:colOff>200025</xdr:colOff>
      <xdr:row>16</xdr:row>
      <xdr:rowOff>0</xdr:rowOff>
    </xdr:from>
    <xdr:to>
      <xdr:col>3</xdr:col>
      <xdr:colOff>485775</xdr:colOff>
      <xdr:row>20</xdr:row>
      <xdr:rowOff>0</xdr:rowOff>
    </xdr:to>
    <xdr:sp macro="" textlink="">
      <xdr:nvSpPr>
        <xdr:cNvPr id="6" name="Retângulo de cantos arredondados 5">
          <a:hlinkClick xmlns:r="http://schemas.openxmlformats.org/officeDocument/2006/relationships" r:id="rId1"/>
        </xdr:cNvPr>
        <xdr:cNvSpPr/>
      </xdr:nvSpPr>
      <xdr:spPr>
        <a:xfrm>
          <a:off x="200025" y="2946400"/>
          <a:ext cx="2305050" cy="762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2800">
              <a:solidFill>
                <a:srgbClr val="FFFF00"/>
              </a:solidFill>
              <a:latin typeface="Bauhaus 93" pitchFamily="82" charset="0"/>
            </a:rPr>
            <a:t>TUTORIAL</a:t>
          </a:r>
        </a:p>
      </xdr:txBody>
    </xdr:sp>
    <xdr:clientData/>
  </xdr:twoCellAnchor>
  <xdr:twoCellAnchor>
    <xdr:from>
      <xdr:col>4</xdr:col>
      <xdr:colOff>180975</xdr:colOff>
      <xdr:row>16</xdr:row>
      <xdr:rowOff>9525</xdr:rowOff>
    </xdr:from>
    <xdr:to>
      <xdr:col>11</xdr:col>
      <xdr:colOff>514350</xdr:colOff>
      <xdr:row>19</xdr:row>
      <xdr:rowOff>171450</xdr:rowOff>
    </xdr:to>
    <xdr:sp macro="" textlink="">
      <xdr:nvSpPr>
        <xdr:cNvPr id="7" name="Retângulo de cantos arredondados 6">
          <a:hlinkClick xmlns:r="http://schemas.openxmlformats.org/officeDocument/2006/relationships" r:id="rId2"/>
        </xdr:cNvPr>
        <xdr:cNvSpPr/>
      </xdr:nvSpPr>
      <xdr:spPr>
        <a:xfrm>
          <a:off x="3013075" y="2955925"/>
          <a:ext cx="5045075" cy="733425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2800">
              <a:solidFill>
                <a:srgbClr val="FFFF00"/>
              </a:solidFill>
              <a:latin typeface="Bauhaus 93" pitchFamily="82" charset="0"/>
            </a:rPr>
            <a:t>MÉTODOS</a:t>
          </a:r>
          <a:r>
            <a:rPr lang="pt-BR" sz="2800" baseline="0">
              <a:solidFill>
                <a:srgbClr val="FFFF00"/>
              </a:solidFill>
              <a:latin typeface="Bauhaus 93" pitchFamily="82" charset="0"/>
            </a:rPr>
            <a:t> TEÓRICOS</a:t>
          </a:r>
          <a:endParaRPr lang="pt-BR" sz="2800">
            <a:solidFill>
              <a:srgbClr val="FFFF00"/>
            </a:solidFill>
            <a:latin typeface="Bauhaus 93" pitchFamily="82" charset="0"/>
          </a:endParaRPr>
        </a:p>
      </xdr:txBody>
    </xdr:sp>
    <xdr:clientData/>
  </xdr:twoCellAnchor>
  <xdr:twoCellAnchor>
    <xdr:from>
      <xdr:col>0</xdr:col>
      <xdr:colOff>133350</xdr:colOff>
      <xdr:row>21</xdr:row>
      <xdr:rowOff>38100</xdr:rowOff>
    </xdr:from>
    <xdr:to>
      <xdr:col>5</xdr:col>
      <xdr:colOff>390526</xdr:colOff>
      <xdr:row>25</xdr:row>
      <xdr:rowOff>38100</xdr:rowOff>
    </xdr:to>
    <xdr:sp macro="" textlink="">
      <xdr:nvSpPr>
        <xdr:cNvPr id="8" name="Retângulo de cantos arredondados 7">
          <a:hlinkClick xmlns:r="http://schemas.openxmlformats.org/officeDocument/2006/relationships" r:id="rId3"/>
        </xdr:cNvPr>
        <xdr:cNvSpPr/>
      </xdr:nvSpPr>
      <xdr:spPr>
        <a:xfrm>
          <a:off x="133350" y="4143375"/>
          <a:ext cx="3305176" cy="762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3000">
              <a:solidFill>
                <a:srgbClr val="FFFF00"/>
              </a:solidFill>
              <a:latin typeface="Bauhaus 93" pitchFamily="82" charset="0"/>
            </a:rPr>
            <a:t>SEMIEMPÍRICOS</a:t>
          </a:r>
        </a:p>
      </xdr:txBody>
    </xdr:sp>
    <xdr:clientData/>
  </xdr:twoCellAnchor>
  <xdr:twoCellAnchor>
    <xdr:from>
      <xdr:col>5</xdr:col>
      <xdr:colOff>561974</xdr:colOff>
      <xdr:row>21</xdr:row>
      <xdr:rowOff>57150</xdr:rowOff>
    </xdr:from>
    <xdr:to>
      <xdr:col>11</xdr:col>
      <xdr:colOff>447675</xdr:colOff>
      <xdr:row>25</xdr:row>
      <xdr:rowOff>57150</xdr:rowOff>
    </xdr:to>
    <xdr:sp macro="" textlink="">
      <xdr:nvSpPr>
        <xdr:cNvPr id="9" name="Retângulo de cantos arredondados 8">
          <a:hlinkClick xmlns:r="http://schemas.openxmlformats.org/officeDocument/2006/relationships" r:id="rId4"/>
        </xdr:cNvPr>
        <xdr:cNvSpPr/>
      </xdr:nvSpPr>
      <xdr:spPr>
        <a:xfrm>
          <a:off x="3609974" y="4162425"/>
          <a:ext cx="3543301" cy="762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3000">
              <a:solidFill>
                <a:srgbClr val="FFFF00"/>
              </a:solidFill>
              <a:latin typeface="Bauhaus 93" pitchFamily="82" charset="0"/>
            </a:rPr>
            <a:t>PROVA DE CARGA</a:t>
          </a:r>
        </a:p>
      </xdr:txBody>
    </xdr:sp>
    <xdr:clientData/>
  </xdr:twoCellAnchor>
  <xdr:twoCellAnchor>
    <xdr:from>
      <xdr:col>2</xdr:col>
      <xdr:colOff>571500</xdr:colOff>
      <xdr:row>26</xdr:row>
      <xdr:rowOff>104775</xdr:rowOff>
    </xdr:from>
    <xdr:to>
      <xdr:col>8</xdr:col>
      <xdr:colOff>457201</xdr:colOff>
      <xdr:row>30</xdr:row>
      <xdr:rowOff>104775</xdr:rowOff>
    </xdr:to>
    <xdr:sp macro="" textlink="">
      <xdr:nvSpPr>
        <xdr:cNvPr id="11" name="Retângulo de cantos arredondados 10"/>
        <xdr:cNvSpPr/>
      </xdr:nvSpPr>
      <xdr:spPr>
        <a:xfrm>
          <a:off x="1790700" y="5162550"/>
          <a:ext cx="3543301" cy="762000"/>
        </a:xfrm>
        <a:prstGeom prst="roundRect">
          <a:avLst/>
        </a:prstGeom>
        <a:solidFill>
          <a:schemeClr val="accent6">
            <a:lumMod val="75000"/>
          </a:schemeClr>
        </a:solidFill>
        <a:ln>
          <a:noFill/>
        </a:ln>
        <a:scene3d>
          <a:camera prst="orthographicFront"/>
          <a:lightRig rig="threePt" dir="t"/>
        </a:scene3d>
        <a:sp3d>
          <a:bevelT w="139700" h="139700" prst="divo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pt-BR" sz="3000">
              <a:solidFill>
                <a:srgbClr val="FFFF00"/>
              </a:solidFill>
              <a:latin typeface="Bauhaus 93" pitchFamily="82" charset="0"/>
            </a:rPr>
            <a:t>GRÁFICOS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5</xdr:row>
      <xdr:rowOff>25400</xdr:rowOff>
    </xdr:from>
    <xdr:to>
      <xdr:col>7</xdr:col>
      <xdr:colOff>431800</xdr:colOff>
      <xdr:row>10</xdr:row>
      <xdr:rowOff>76200</xdr:rowOff>
    </xdr:to>
    <xdr:sp macro="" textlink="">
      <xdr:nvSpPr>
        <xdr:cNvPr id="2" name="Retângulo 1"/>
        <xdr:cNvSpPr/>
      </xdr:nvSpPr>
      <xdr:spPr>
        <a:xfrm>
          <a:off x="12700" y="25400"/>
          <a:ext cx="5130800" cy="93980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pt-BR" sz="3000">
              <a:solidFill>
                <a:schemeClr val="lt1"/>
              </a:solidFill>
              <a:latin typeface="Bauhaus 93"/>
              <a:ea typeface="+mn-ea"/>
              <a:cs typeface="Bauhaus 93"/>
            </a:rPr>
            <a:t>MÉTODOS TEÓRICOS</a:t>
          </a:r>
        </a:p>
      </xdr:txBody>
    </xdr:sp>
    <xdr:clientData/>
  </xdr:twoCellAnchor>
  <xdr:twoCellAnchor>
    <xdr:from>
      <xdr:col>8</xdr:col>
      <xdr:colOff>101600</xdr:colOff>
      <xdr:row>5</xdr:row>
      <xdr:rowOff>25400</xdr:rowOff>
    </xdr:from>
    <xdr:to>
      <xdr:col>15</xdr:col>
      <xdr:colOff>520700</xdr:colOff>
      <xdr:row>10</xdr:row>
      <xdr:rowOff>76200</xdr:rowOff>
    </xdr:to>
    <xdr:sp macro="" textlink="">
      <xdr:nvSpPr>
        <xdr:cNvPr id="4" name="Retângulo 1"/>
        <xdr:cNvSpPr/>
      </xdr:nvSpPr>
      <xdr:spPr>
        <a:xfrm>
          <a:off x="5346700" y="2159000"/>
          <a:ext cx="5130800" cy="93980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pt-BR" sz="3000">
              <a:solidFill>
                <a:schemeClr val="lt1"/>
              </a:solidFill>
              <a:latin typeface="Bauhaus 93"/>
              <a:ea typeface="+mn-ea"/>
              <a:cs typeface="Bauhaus 93"/>
            </a:rPr>
            <a:t>MÉTODOS SEMIEMPIRICOS</a:t>
          </a:r>
        </a:p>
      </xdr:txBody>
    </xdr:sp>
    <xdr:clientData/>
  </xdr:twoCellAnchor>
  <xdr:twoCellAnchor>
    <xdr:from>
      <xdr:col>16</xdr:col>
      <xdr:colOff>76200</xdr:colOff>
      <xdr:row>5</xdr:row>
      <xdr:rowOff>25400</xdr:rowOff>
    </xdr:from>
    <xdr:to>
      <xdr:col>23</xdr:col>
      <xdr:colOff>495300</xdr:colOff>
      <xdr:row>10</xdr:row>
      <xdr:rowOff>76200</xdr:rowOff>
    </xdr:to>
    <xdr:sp macro="" textlink="">
      <xdr:nvSpPr>
        <xdr:cNvPr id="5" name="Retângulo 1"/>
        <xdr:cNvSpPr/>
      </xdr:nvSpPr>
      <xdr:spPr>
        <a:xfrm>
          <a:off x="10706100" y="2159000"/>
          <a:ext cx="5130800" cy="939800"/>
        </a:xfrm>
        <a:prstGeom prst="rect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rtlCol="0" anchor="ctr"/>
        <a:lstStyle/>
        <a:p>
          <a:pPr marL="0" indent="0" algn="ctr"/>
          <a:r>
            <a:rPr lang="pt-BR" sz="3000">
              <a:solidFill>
                <a:schemeClr val="lt1"/>
              </a:solidFill>
              <a:latin typeface="Bauhaus 93"/>
              <a:ea typeface="+mn-ea"/>
              <a:cs typeface="Bauhaus 93"/>
            </a:rPr>
            <a:t>PROVA DE CARGA</a:t>
          </a:r>
          <a:r>
            <a:rPr lang="pt-BR" sz="3000" baseline="0">
              <a:solidFill>
                <a:schemeClr val="lt1"/>
              </a:solidFill>
              <a:latin typeface="Bauhaus 93"/>
              <a:ea typeface="+mn-ea"/>
              <a:cs typeface="Bauhaus 93"/>
            </a:rPr>
            <a:t> SOBRE PLACA</a:t>
          </a:r>
          <a:endParaRPr lang="pt-BR" sz="3000">
            <a:solidFill>
              <a:schemeClr val="lt1"/>
            </a:solidFill>
            <a:latin typeface="Bauhaus 93"/>
            <a:ea typeface="+mn-ea"/>
            <a:cs typeface="Bauhaus 93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1</xdr:row>
      <xdr:rowOff>171450</xdr:rowOff>
    </xdr:from>
    <xdr:to>
      <xdr:col>8</xdr:col>
      <xdr:colOff>203200</xdr:colOff>
      <xdr:row>19</xdr:row>
      <xdr:rowOff>114299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254000</xdr:colOff>
      <xdr:row>12</xdr:row>
      <xdr:rowOff>76200</xdr:rowOff>
    </xdr:from>
    <xdr:ext cx="616951" cy="261610"/>
    <xdr:sp macro="" textlink="">
      <xdr:nvSpPr>
        <xdr:cNvPr id="5" name="TextBox 4"/>
        <xdr:cNvSpPr txBox="1"/>
      </xdr:nvSpPr>
      <xdr:spPr>
        <a:xfrm>
          <a:off x="4381500" y="2387600"/>
          <a:ext cx="616951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3.</a:t>
          </a:r>
          <a:r>
            <a:rPr lang="en-US" sz="1100" baseline="0"/>
            <a:t> </a:t>
          </a:r>
          <a:r>
            <a:rPr lang="en-US" sz="1100"/>
            <a:t>Local</a:t>
          </a:r>
        </a:p>
      </xdr:txBody>
    </xdr:sp>
    <xdr:clientData/>
  </xdr:oneCellAnchor>
  <xdr:oneCellAnchor>
    <xdr:from>
      <xdr:col>4</xdr:col>
      <xdr:colOff>177801</xdr:colOff>
      <xdr:row>11</xdr:row>
      <xdr:rowOff>139700</xdr:rowOff>
    </xdr:from>
    <xdr:ext cx="723899" cy="600164"/>
    <xdr:sp macro="" textlink="">
      <xdr:nvSpPr>
        <xdr:cNvPr id="6" name="TextBox 5"/>
        <xdr:cNvSpPr txBox="1"/>
      </xdr:nvSpPr>
      <xdr:spPr>
        <a:xfrm>
          <a:off x="3416301" y="2260600"/>
          <a:ext cx="723899" cy="6001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2. Por Puncio-namento</a:t>
          </a:r>
        </a:p>
      </xdr:txBody>
    </xdr:sp>
    <xdr:clientData/>
  </xdr:oneCellAnchor>
  <xdr:oneCellAnchor>
    <xdr:from>
      <xdr:col>5</xdr:col>
      <xdr:colOff>546100</xdr:colOff>
      <xdr:row>7</xdr:row>
      <xdr:rowOff>25400</xdr:rowOff>
    </xdr:from>
    <xdr:ext cx="1073619" cy="261610"/>
    <xdr:sp macro="" textlink="">
      <xdr:nvSpPr>
        <xdr:cNvPr id="7" name="TextBox 6"/>
        <xdr:cNvSpPr txBox="1"/>
      </xdr:nvSpPr>
      <xdr:spPr>
        <a:xfrm>
          <a:off x="4673600" y="1384300"/>
          <a:ext cx="1073619" cy="2616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100"/>
            <a:t>1. Generalizada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0</xdr:row>
      <xdr:rowOff>180975</xdr:rowOff>
    </xdr:from>
    <xdr:to>
      <xdr:col>9</xdr:col>
      <xdr:colOff>180975</xdr:colOff>
      <xdr:row>16</xdr:row>
      <xdr:rowOff>123824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285750</xdr:colOff>
      <xdr:row>2</xdr:row>
      <xdr:rowOff>9525</xdr:rowOff>
    </xdr:from>
    <xdr:to>
      <xdr:col>21</xdr:col>
      <xdr:colOff>371475</xdr:colOff>
      <xdr:row>19</xdr:row>
      <xdr:rowOff>66675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12</xdr:row>
      <xdr:rowOff>61912</xdr:rowOff>
    </xdr:from>
    <xdr:to>
      <xdr:col>5</xdr:col>
      <xdr:colOff>676274</xdr:colOff>
      <xdr:row>27</xdr:row>
      <xdr:rowOff>161925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104775</xdr:colOff>
      <xdr:row>12</xdr:row>
      <xdr:rowOff>47625</xdr:rowOff>
    </xdr:from>
    <xdr:to>
      <xdr:col>12</xdr:col>
      <xdr:colOff>85724</xdr:colOff>
      <xdr:row>27</xdr:row>
      <xdr:rowOff>147638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285750</xdr:colOff>
      <xdr:row>12</xdr:row>
      <xdr:rowOff>47625</xdr:rowOff>
    </xdr:from>
    <xdr:to>
      <xdr:col>19</xdr:col>
      <xdr:colOff>514349</xdr:colOff>
      <xdr:row>27</xdr:row>
      <xdr:rowOff>147638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3.vml"/><Relationship Id="rId3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0"/>
  <sheetViews>
    <sheetView showGridLines="0" tabSelected="1" workbookViewId="0">
      <selection activeCell="B30" sqref="B30"/>
    </sheetView>
  </sheetViews>
  <sheetFormatPr baseColWidth="10" defaultColWidth="8.83203125" defaultRowHeight="14" x14ac:dyDescent="0"/>
  <cols>
    <col min="1" max="3" width="8.83203125" style="2"/>
    <col min="4" max="4" width="10.6640625" style="2" customWidth="1"/>
    <col min="5" max="16384" width="8.83203125" style="2"/>
  </cols>
  <sheetData>
    <row r="2" spans="1:1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</row>
    <row r="3" spans="1:12" ht="15" customHeight="1">
      <c r="A3" s="199"/>
      <c r="B3" s="199"/>
      <c r="C3" s="199"/>
      <c r="D3" s="199"/>
      <c r="E3" s="199"/>
      <c r="F3" s="199"/>
      <c r="G3" s="199"/>
      <c r="H3" s="199"/>
      <c r="I3" s="199"/>
      <c r="J3" s="199"/>
      <c r="K3" s="199"/>
    </row>
    <row r="4" spans="1:12" ht="15.75" customHeight="1">
      <c r="A4" s="199"/>
      <c r="B4" s="199"/>
      <c r="C4" s="199"/>
      <c r="D4" s="199"/>
      <c r="E4" s="199"/>
      <c r="F4" s="199"/>
      <c r="G4" s="199"/>
      <c r="H4" s="199"/>
      <c r="I4" s="199"/>
      <c r="J4" s="199"/>
      <c r="K4" s="199"/>
    </row>
    <row r="5" spans="1:12" ht="15.75" customHeight="1">
      <c r="A5" s="199"/>
      <c r="B5" s="199"/>
      <c r="C5" s="199"/>
      <c r="D5" s="199"/>
      <c r="E5" s="199"/>
      <c r="F5" s="199"/>
      <c r="G5" s="199"/>
      <c r="H5" s="199"/>
      <c r="I5" s="199"/>
      <c r="J5" s="199"/>
      <c r="K5" s="199"/>
    </row>
    <row r="6" spans="1:12" ht="15.75" customHeight="1">
      <c r="A6" s="199"/>
      <c r="B6" s="199"/>
      <c r="C6" s="199"/>
      <c r="D6" s="199"/>
      <c r="E6" s="199"/>
      <c r="F6" s="199"/>
      <c r="G6" s="199"/>
      <c r="H6" s="199"/>
      <c r="I6" s="199"/>
      <c r="J6" s="199"/>
      <c r="K6" s="199"/>
    </row>
    <row r="7" spans="1:12" ht="15.75" customHeight="1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</row>
    <row r="8" spans="1:12" ht="15.75" customHeight="1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</row>
    <row r="9" spans="1:12" ht="15.75" customHeight="1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</row>
    <row r="10" spans="1:12" ht="15.75" customHeight="1">
      <c r="A10" s="199"/>
      <c r="B10" s="199"/>
      <c r="C10" s="199"/>
      <c r="D10" s="199"/>
      <c r="E10" s="199"/>
      <c r="F10" s="199"/>
      <c r="G10" s="199"/>
      <c r="H10" s="199"/>
      <c r="I10" s="199"/>
      <c r="J10" s="199"/>
      <c r="K10" s="199"/>
    </row>
    <row r="12" spans="1:12">
      <c r="B12" s="200" t="s">
        <v>0</v>
      </c>
      <c r="C12" s="200"/>
      <c r="D12" s="200"/>
      <c r="H12" s="114"/>
      <c r="I12" s="114"/>
      <c r="J12" s="203" t="s">
        <v>1</v>
      </c>
      <c r="K12" s="203"/>
      <c r="L12" s="203"/>
    </row>
    <row r="13" spans="1:12">
      <c r="B13" s="201" t="s">
        <v>2</v>
      </c>
      <c r="C13" s="201"/>
      <c r="D13" s="201"/>
      <c r="H13" s="115"/>
      <c r="I13" s="115"/>
      <c r="J13" s="204" t="s">
        <v>3</v>
      </c>
      <c r="K13" s="204"/>
      <c r="L13" s="204"/>
    </row>
    <row r="14" spans="1:12">
      <c r="B14" s="202" t="s">
        <v>4</v>
      </c>
      <c r="C14" s="202"/>
      <c r="D14" s="202"/>
      <c r="H14" s="116"/>
      <c r="I14" s="116"/>
      <c r="J14" s="205" t="s">
        <v>5</v>
      </c>
      <c r="K14" s="205"/>
      <c r="L14" s="205"/>
    </row>
    <row r="17" ht="15.75" customHeight="1"/>
    <row r="18" ht="15.75" customHeight="1"/>
    <row r="19" ht="15.75" customHeight="1"/>
    <row r="20" ht="15.75" customHeight="1"/>
  </sheetData>
  <sheetProtection password="F16F" sheet="1" objects="1" scenarios="1"/>
  <mergeCells count="7">
    <mergeCell ref="A2:K10"/>
    <mergeCell ref="B12:D12"/>
    <mergeCell ref="B13:D13"/>
    <mergeCell ref="B14:D14"/>
    <mergeCell ref="J12:L12"/>
    <mergeCell ref="J13:L13"/>
    <mergeCell ref="J14:L14"/>
  </mergeCells>
  <pageMargins left="0.511811024" right="0.511811024" top="0.78740157499999996" bottom="0.78740157499999996" header="0.31496062000000002" footer="0.31496062000000002"/>
  <pageSetup paperSize="9" orientation="portrait" horizontalDpi="300" verticalDpi="30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"/>
  <sheetViews>
    <sheetView workbookViewId="0">
      <selection sqref="A1:X4"/>
    </sheetView>
  </sheetViews>
  <sheetFormatPr baseColWidth="10" defaultColWidth="8.83203125" defaultRowHeight="14" x14ac:dyDescent="0"/>
  <cols>
    <col min="1" max="7" width="8.83203125" style="1"/>
    <col min="8" max="8" width="7" style="1" customWidth="1"/>
    <col min="9" max="16384" width="8.83203125" style="1"/>
  </cols>
  <sheetData>
    <row r="1" spans="1:24" ht="14" customHeight="1">
      <c r="A1" s="211" t="s">
        <v>111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</row>
    <row r="2" spans="1:24" ht="14" customHeight="1">
      <c r="A2" s="211"/>
      <c r="B2" s="211"/>
      <c r="C2" s="211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</row>
    <row r="3" spans="1:24" ht="14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</row>
    <row r="4" spans="1:24" ht="14" customHeight="1">
      <c r="A4" s="211"/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</row>
    <row r="6" spans="1:24">
      <c r="A6" s="111"/>
      <c r="B6" s="111"/>
      <c r="C6" s="111"/>
      <c r="D6" s="111"/>
      <c r="E6" s="111"/>
      <c r="F6" s="111"/>
      <c r="G6" s="111"/>
      <c r="H6" s="170"/>
      <c r="I6" s="182"/>
      <c r="J6" s="111"/>
      <c r="K6" s="111"/>
      <c r="L6" s="111"/>
      <c r="M6" s="111"/>
      <c r="N6" s="111"/>
      <c r="O6" s="111"/>
      <c r="P6" s="170"/>
    </row>
    <row r="7" spans="1:24">
      <c r="A7" s="111"/>
      <c r="B7" s="111"/>
      <c r="C7" s="111"/>
      <c r="D7" s="111"/>
      <c r="E7" s="111"/>
      <c r="F7" s="111"/>
      <c r="G7" s="111"/>
      <c r="H7" s="170"/>
      <c r="I7" s="182"/>
      <c r="J7" s="111"/>
      <c r="K7" s="111"/>
      <c r="L7" s="111"/>
      <c r="M7" s="111"/>
      <c r="N7" s="111"/>
      <c r="O7" s="111"/>
      <c r="P7" s="170"/>
    </row>
    <row r="8" spans="1:24">
      <c r="A8" s="111"/>
      <c r="B8" s="111"/>
      <c r="C8" s="111"/>
      <c r="D8" s="111"/>
      <c r="E8" s="111"/>
      <c r="F8" s="111"/>
      <c r="G8" s="111"/>
      <c r="H8" s="170"/>
      <c r="I8" s="182"/>
      <c r="J8" s="111"/>
      <c r="K8" s="111"/>
      <c r="L8" s="111"/>
      <c r="M8" s="111"/>
      <c r="N8" s="111"/>
      <c r="O8" s="111"/>
      <c r="P8" s="170"/>
    </row>
    <row r="9" spans="1:24">
      <c r="A9" s="111"/>
      <c r="B9" s="111"/>
      <c r="C9" s="111"/>
      <c r="D9" s="111"/>
      <c r="E9" s="111"/>
      <c r="F9" s="111"/>
      <c r="G9" s="111"/>
      <c r="H9" s="170"/>
      <c r="I9" s="182"/>
      <c r="J9" s="111"/>
      <c r="K9" s="111"/>
      <c r="L9" s="111"/>
      <c r="M9" s="111"/>
      <c r="N9" s="111"/>
      <c r="O9" s="111"/>
      <c r="P9" s="170"/>
    </row>
    <row r="10" spans="1:24">
      <c r="A10" s="111"/>
      <c r="B10" s="111"/>
      <c r="C10" s="111"/>
      <c r="D10" s="111"/>
      <c r="E10" s="111"/>
      <c r="F10" s="111"/>
      <c r="G10" s="111"/>
      <c r="H10" s="170"/>
      <c r="I10" s="182"/>
      <c r="J10" s="111"/>
      <c r="K10" s="111"/>
      <c r="L10" s="111"/>
      <c r="M10" s="111"/>
      <c r="N10" s="111"/>
      <c r="O10" s="111"/>
      <c r="P10" s="170"/>
    </row>
    <row r="11" spans="1:24">
      <c r="A11" s="111"/>
      <c r="B11" s="111"/>
      <c r="C11" s="111"/>
      <c r="D11" s="111"/>
      <c r="E11" s="111"/>
      <c r="F11" s="111"/>
      <c r="G11" s="111"/>
      <c r="H11" s="170"/>
      <c r="I11" s="182"/>
      <c r="J11" s="111"/>
      <c r="K11" s="111"/>
      <c r="L11" s="111"/>
      <c r="M11" s="111"/>
      <c r="N11" s="111"/>
      <c r="O11" s="111"/>
      <c r="P11" s="170"/>
    </row>
    <row r="12" spans="1:24">
      <c r="A12" s="111"/>
      <c r="B12" s="111"/>
      <c r="C12" s="111"/>
      <c r="D12" s="111"/>
      <c r="E12" s="111"/>
      <c r="F12" s="111"/>
      <c r="G12" s="111"/>
      <c r="H12" s="170"/>
      <c r="I12" s="182"/>
      <c r="J12" s="111"/>
      <c r="K12" s="111"/>
      <c r="L12" s="111"/>
      <c r="M12" s="111"/>
      <c r="N12" s="111"/>
      <c r="O12" s="111"/>
      <c r="P12" s="170"/>
    </row>
    <row r="13" spans="1:24" ht="15">
      <c r="A13" s="171" t="s">
        <v>41</v>
      </c>
      <c r="B13" s="111"/>
      <c r="C13" s="111"/>
      <c r="D13" s="111"/>
      <c r="E13" s="111"/>
      <c r="F13" s="111"/>
      <c r="G13" s="111"/>
      <c r="H13" s="170"/>
      <c r="I13" s="183" t="s">
        <v>41</v>
      </c>
      <c r="J13" s="111"/>
      <c r="K13" s="111"/>
      <c r="L13" s="111"/>
      <c r="M13" s="111"/>
      <c r="N13" s="111"/>
      <c r="O13" s="111"/>
      <c r="P13" s="170"/>
      <c r="Q13" s="117" t="s">
        <v>77</v>
      </c>
    </row>
    <row r="14" spans="1:24">
      <c r="A14" s="111"/>
      <c r="B14" s="111"/>
      <c r="C14" s="111"/>
      <c r="D14" s="111"/>
      <c r="E14" s="111"/>
      <c r="F14" s="111"/>
      <c r="G14" s="111"/>
      <c r="H14" s="170"/>
      <c r="I14" s="182"/>
      <c r="J14" s="111"/>
      <c r="K14" s="111"/>
      <c r="L14" s="111"/>
      <c r="M14" s="111"/>
      <c r="N14" s="111"/>
      <c r="O14" s="111"/>
      <c r="P14" s="170"/>
    </row>
    <row r="15" spans="1:24" ht="18" customHeight="1">
      <c r="A15" s="171" t="s">
        <v>99</v>
      </c>
      <c r="B15" s="172"/>
      <c r="C15" s="172"/>
      <c r="D15" s="172"/>
      <c r="E15" s="172"/>
      <c r="F15" s="172"/>
      <c r="G15" s="172"/>
      <c r="H15" s="173"/>
      <c r="I15" s="183" t="s">
        <v>99</v>
      </c>
      <c r="J15" s="172"/>
      <c r="K15" s="172"/>
      <c r="L15" s="172"/>
      <c r="M15" s="172"/>
      <c r="N15" s="172"/>
      <c r="O15" s="172"/>
      <c r="P15" s="173"/>
      <c r="Q15" s="212" t="s">
        <v>120</v>
      </c>
      <c r="R15" s="213"/>
      <c r="S15" s="213"/>
      <c r="T15" s="213"/>
      <c r="U15" s="213"/>
      <c r="V15" s="213"/>
      <c r="W15" s="213"/>
      <c r="X15" s="213"/>
    </row>
    <row r="16" spans="1:24" ht="14" customHeight="1">
      <c r="A16" s="213" t="s">
        <v>110</v>
      </c>
      <c r="B16" s="209"/>
      <c r="C16" s="209"/>
      <c r="D16" s="209"/>
      <c r="E16" s="209"/>
      <c r="F16" s="209"/>
      <c r="G16" s="209"/>
      <c r="H16" s="210"/>
      <c r="I16" s="212" t="s">
        <v>114</v>
      </c>
      <c r="J16" s="213"/>
      <c r="K16" s="213"/>
      <c r="L16" s="213"/>
      <c r="M16" s="213"/>
      <c r="N16" s="213"/>
      <c r="O16" s="213"/>
      <c r="P16" s="214"/>
      <c r="Q16" s="212"/>
      <c r="R16" s="213"/>
      <c r="S16" s="213"/>
      <c r="T16" s="213"/>
      <c r="U16" s="213"/>
      <c r="V16" s="213"/>
      <c r="W16" s="213"/>
      <c r="X16" s="213"/>
    </row>
    <row r="17" spans="1:24" ht="14" customHeight="1">
      <c r="A17" s="209"/>
      <c r="B17" s="209"/>
      <c r="C17" s="209"/>
      <c r="D17" s="209"/>
      <c r="E17" s="209"/>
      <c r="F17" s="209"/>
      <c r="G17" s="209"/>
      <c r="H17" s="210"/>
      <c r="I17" s="178"/>
      <c r="J17" s="176"/>
      <c r="K17" s="176"/>
      <c r="L17" s="176"/>
      <c r="M17" s="176"/>
      <c r="N17" s="176"/>
      <c r="O17" s="176"/>
      <c r="P17" s="177"/>
      <c r="Q17" s="212"/>
      <c r="R17" s="213"/>
      <c r="S17" s="213"/>
      <c r="T17" s="213"/>
      <c r="U17" s="213"/>
      <c r="V17" s="213"/>
      <c r="W17" s="213"/>
      <c r="X17" s="213"/>
    </row>
    <row r="18" spans="1:24" ht="14" customHeight="1">
      <c r="A18" s="209"/>
      <c r="B18" s="209"/>
      <c r="C18" s="209"/>
      <c r="D18" s="209"/>
      <c r="E18" s="209"/>
      <c r="F18" s="209"/>
      <c r="G18" s="209"/>
      <c r="H18" s="210"/>
      <c r="I18" s="215" t="s">
        <v>115</v>
      </c>
      <c r="J18" s="216"/>
      <c r="K18" s="216"/>
      <c r="L18" s="216"/>
      <c r="M18" s="176"/>
      <c r="N18" s="176"/>
      <c r="O18" s="176"/>
      <c r="P18" s="177"/>
      <c r="Q18" s="212"/>
      <c r="R18" s="213"/>
      <c r="S18" s="213"/>
      <c r="T18" s="213"/>
      <c r="U18" s="213"/>
      <c r="V18" s="213"/>
      <c r="W18" s="213"/>
      <c r="X18" s="213"/>
    </row>
    <row r="19" spans="1:24" ht="14" customHeight="1">
      <c r="A19" s="209"/>
      <c r="B19" s="209"/>
      <c r="C19" s="209"/>
      <c r="D19" s="209"/>
      <c r="E19" s="209"/>
      <c r="F19" s="209"/>
      <c r="G19" s="209"/>
      <c r="H19" s="210"/>
      <c r="I19" s="212" t="s">
        <v>116</v>
      </c>
      <c r="J19" s="213"/>
      <c r="K19" s="213"/>
      <c r="L19" s="213"/>
      <c r="M19" s="213"/>
      <c r="N19" s="213"/>
      <c r="O19" s="213"/>
      <c r="P19" s="214"/>
      <c r="Q19" s="212"/>
      <c r="R19" s="213"/>
      <c r="S19" s="213"/>
      <c r="T19" s="213"/>
      <c r="U19" s="213"/>
      <c r="V19" s="213"/>
      <c r="W19" s="213"/>
      <c r="X19" s="213"/>
    </row>
    <row r="20" spans="1:24" ht="5" customHeight="1">
      <c r="A20" s="209"/>
      <c r="B20" s="209"/>
      <c r="C20" s="209"/>
      <c r="D20" s="209"/>
      <c r="E20" s="209"/>
      <c r="F20" s="209"/>
      <c r="G20" s="209"/>
      <c r="H20" s="210"/>
      <c r="I20" s="212"/>
      <c r="J20" s="213"/>
      <c r="K20" s="213"/>
      <c r="L20" s="213"/>
      <c r="M20" s="213"/>
      <c r="N20" s="213"/>
      <c r="O20" s="213"/>
      <c r="P20" s="214"/>
      <c r="Q20" s="212"/>
      <c r="R20" s="213"/>
      <c r="S20" s="213"/>
      <c r="T20" s="213"/>
      <c r="U20" s="213"/>
      <c r="V20" s="213"/>
      <c r="W20" s="213"/>
      <c r="X20" s="213"/>
    </row>
    <row r="21" spans="1:24" ht="15" customHeight="1">
      <c r="A21" s="111"/>
      <c r="B21" s="111"/>
      <c r="C21" s="111"/>
      <c r="D21" s="111"/>
      <c r="E21" s="111"/>
      <c r="F21" s="111"/>
      <c r="G21" s="111"/>
      <c r="H21" s="170"/>
      <c r="I21" s="212"/>
      <c r="J21" s="213"/>
      <c r="K21" s="213"/>
      <c r="L21" s="213"/>
      <c r="M21" s="213"/>
      <c r="N21" s="213"/>
      <c r="O21" s="213"/>
      <c r="P21" s="214"/>
      <c r="Q21" s="212"/>
      <c r="R21" s="213"/>
      <c r="S21" s="213"/>
      <c r="T21" s="213"/>
      <c r="U21" s="213"/>
      <c r="V21" s="213"/>
      <c r="W21" s="213"/>
      <c r="X21" s="213"/>
    </row>
    <row r="22" spans="1:24" ht="15" customHeight="1">
      <c r="A22" s="171" t="s">
        <v>100</v>
      </c>
      <c r="B22" s="111"/>
      <c r="C22" s="111"/>
      <c r="D22" s="111"/>
      <c r="E22" s="111"/>
      <c r="F22" s="111"/>
      <c r="G22" s="111"/>
      <c r="H22" s="170"/>
      <c r="I22" s="212"/>
      <c r="J22" s="213"/>
      <c r="K22" s="213"/>
      <c r="L22" s="213"/>
      <c r="M22" s="213"/>
      <c r="N22" s="213"/>
      <c r="O22" s="213"/>
      <c r="P22" s="214"/>
      <c r="Q22" s="212"/>
      <c r="R22" s="213"/>
      <c r="S22" s="213"/>
      <c r="T22" s="213"/>
      <c r="U22" s="213"/>
      <c r="V22" s="213"/>
      <c r="W22" s="213"/>
      <c r="X22" s="213"/>
    </row>
    <row r="23" spans="1:24" ht="21" customHeight="1">
      <c r="A23" s="217" t="s">
        <v>112</v>
      </c>
      <c r="B23" s="218"/>
      <c r="C23" s="218"/>
      <c r="D23" s="218"/>
      <c r="E23" s="218"/>
      <c r="F23" s="218"/>
      <c r="G23" s="218"/>
      <c r="H23" s="219"/>
      <c r="I23" s="212"/>
      <c r="J23" s="213"/>
      <c r="K23" s="213"/>
      <c r="L23" s="213"/>
      <c r="M23" s="213"/>
      <c r="N23" s="213"/>
      <c r="O23" s="213"/>
      <c r="P23" s="214"/>
      <c r="Q23" s="212"/>
      <c r="R23" s="213"/>
      <c r="S23" s="213"/>
      <c r="T23" s="213"/>
      <c r="U23" s="213"/>
      <c r="V23" s="213"/>
      <c r="W23" s="213"/>
      <c r="X23" s="213"/>
    </row>
    <row r="24" spans="1:24" ht="14" customHeight="1">
      <c r="A24" s="218"/>
      <c r="B24" s="218"/>
      <c r="C24" s="218"/>
      <c r="D24" s="218"/>
      <c r="E24" s="218"/>
      <c r="F24" s="218"/>
      <c r="G24" s="218"/>
      <c r="H24" s="219"/>
      <c r="I24" s="212"/>
      <c r="J24" s="213"/>
      <c r="K24" s="213"/>
      <c r="L24" s="213"/>
      <c r="M24" s="213"/>
      <c r="N24" s="213"/>
      <c r="O24" s="213"/>
      <c r="P24" s="214"/>
      <c r="Q24" s="212"/>
      <c r="R24" s="213"/>
      <c r="S24" s="213"/>
      <c r="T24" s="213"/>
      <c r="U24" s="213"/>
      <c r="V24" s="213"/>
      <c r="W24" s="213"/>
      <c r="X24" s="213"/>
    </row>
    <row r="25" spans="1:24" ht="14" customHeight="1">
      <c r="A25" s="218"/>
      <c r="B25" s="218"/>
      <c r="C25" s="218"/>
      <c r="D25" s="218"/>
      <c r="E25" s="218"/>
      <c r="F25" s="218"/>
      <c r="G25" s="218"/>
      <c r="H25" s="219"/>
      <c r="I25" s="212"/>
      <c r="J25" s="213"/>
      <c r="K25" s="213"/>
      <c r="L25" s="213"/>
      <c r="M25" s="213"/>
      <c r="N25" s="213"/>
      <c r="O25" s="213"/>
      <c r="P25" s="214"/>
      <c r="Q25" s="212"/>
      <c r="R25" s="213"/>
      <c r="S25" s="213"/>
      <c r="T25" s="213"/>
      <c r="U25" s="213"/>
      <c r="V25" s="213"/>
      <c r="W25" s="213"/>
      <c r="X25" s="213"/>
    </row>
    <row r="26" spans="1:24" ht="14" customHeight="1">
      <c r="A26" s="218"/>
      <c r="B26" s="218"/>
      <c r="C26" s="218"/>
      <c r="D26" s="218"/>
      <c r="E26" s="218"/>
      <c r="F26" s="218"/>
      <c r="G26" s="218"/>
      <c r="H26" s="219"/>
      <c r="I26" s="212"/>
      <c r="J26" s="213"/>
      <c r="K26" s="213"/>
      <c r="L26" s="213"/>
      <c r="M26" s="213"/>
      <c r="N26" s="213"/>
      <c r="O26" s="213"/>
      <c r="P26" s="214"/>
      <c r="Q26" s="212"/>
      <c r="R26" s="213"/>
      <c r="S26" s="213"/>
      <c r="T26" s="213"/>
      <c r="U26" s="213"/>
      <c r="V26" s="213"/>
      <c r="W26" s="213"/>
      <c r="X26" s="213"/>
    </row>
    <row r="27" spans="1:24" ht="14" customHeight="1">
      <c r="A27" s="218"/>
      <c r="B27" s="218"/>
      <c r="C27" s="218"/>
      <c r="D27" s="218"/>
      <c r="E27" s="218"/>
      <c r="F27" s="218"/>
      <c r="G27" s="218"/>
      <c r="H27" s="219"/>
      <c r="I27" s="212"/>
      <c r="J27" s="213"/>
      <c r="K27" s="213"/>
      <c r="L27" s="213"/>
      <c r="M27" s="213"/>
      <c r="N27" s="213"/>
      <c r="O27" s="213"/>
      <c r="P27" s="214"/>
      <c r="Q27" s="212"/>
      <c r="R27" s="213"/>
      <c r="S27" s="213"/>
      <c r="T27" s="213"/>
      <c r="U27" s="213"/>
      <c r="V27" s="213"/>
      <c r="W27" s="213"/>
      <c r="X27" s="213"/>
    </row>
    <row r="28" spans="1:24" ht="14" customHeight="1">
      <c r="A28" s="218"/>
      <c r="B28" s="218"/>
      <c r="C28" s="218"/>
      <c r="D28" s="218"/>
      <c r="E28" s="218"/>
      <c r="F28" s="218"/>
      <c r="G28" s="218"/>
      <c r="H28" s="219"/>
      <c r="I28" s="212"/>
      <c r="J28" s="213"/>
      <c r="K28" s="213"/>
      <c r="L28" s="213"/>
      <c r="M28" s="213"/>
      <c r="N28" s="213"/>
      <c r="O28" s="213"/>
      <c r="P28" s="214"/>
      <c r="Q28" s="212"/>
      <c r="R28" s="213"/>
      <c r="S28" s="213"/>
      <c r="T28" s="213"/>
      <c r="U28" s="213"/>
      <c r="V28" s="213"/>
      <c r="W28" s="213"/>
      <c r="X28" s="213"/>
    </row>
    <row r="29" spans="1:24" ht="14" customHeight="1">
      <c r="A29" s="218"/>
      <c r="B29" s="218"/>
      <c r="C29" s="218"/>
      <c r="D29" s="218"/>
      <c r="E29" s="218"/>
      <c r="F29" s="218"/>
      <c r="G29" s="218"/>
      <c r="H29" s="219"/>
      <c r="I29" s="212"/>
      <c r="J29" s="213"/>
      <c r="K29" s="213"/>
      <c r="L29" s="213"/>
      <c r="M29" s="213"/>
      <c r="N29" s="213"/>
      <c r="O29" s="213"/>
      <c r="P29" s="214"/>
      <c r="Q29" s="212"/>
      <c r="R29" s="213"/>
      <c r="S29" s="213"/>
      <c r="T29" s="213"/>
      <c r="U29" s="213"/>
      <c r="V29" s="213"/>
      <c r="W29" s="213"/>
      <c r="X29" s="213"/>
    </row>
    <row r="30" spans="1:24" ht="14" customHeight="1">
      <c r="A30" s="218"/>
      <c r="B30" s="218"/>
      <c r="C30" s="218"/>
      <c r="D30" s="218"/>
      <c r="E30" s="218"/>
      <c r="F30" s="218"/>
      <c r="G30" s="218"/>
      <c r="H30" s="219"/>
      <c r="I30" s="181"/>
      <c r="J30" s="179"/>
      <c r="K30" s="179"/>
      <c r="L30" s="179"/>
      <c r="M30" s="179"/>
      <c r="N30" s="179"/>
      <c r="O30" s="179"/>
      <c r="P30" s="180"/>
      <c r="Q30" s="194"/>
      <c r="R30" s="193"/>
      <c r="S30" s="193"/>
      <c r="T30" s="193"/>
      <c r="U30" s="193"/>
      <c r="V30" s="193"/>
      <c r="W30" s="193"/>
      <c r="X30" s="193"/>
    </row>
    <row r="31" spans="1:24" ht="14" customHeight="1">
      <c r="A31" s="218"/>
      <c r="B31" s="218"/>
      <c r="C31" s="218"/>
      <c r="D31" s="218"/>
      <c r="E31" s="218"/>
      <c r="F31" s="218"/>
      <c r="G31" s="218"/>
      <c r="H31" s="219"/>
      <c r="I31" s="184" t="s">
        <v>55</v>
      </c>
      <c r="J31" s="179"/>
      <c r="K31" s="179"/>
      <c r="L31" s="179"/>
      <c r="M31" s="179"/>
      <c r="N31" s="179"/>
      <c r="O31" s="179"/>
      <c r="P31" s="180"/>
      <c r="Q31" s="117" t="s">
        <v>121</v>
      </c>
    </row>
    <row r="32" spans="1:24" ht="32" customHeight="1">
      <c r="A32" s="218"/>
      <c r="B32" s="218"/>
      <c r="C32" s="218"/>
      <c r="D32" s="218"/>
      <c r="E32" s="218"/>
      <c r="F32" s="218"/>
      <c r="G32" s="218"/>
      <c r="H32" s="219"/>
      <c r="I32" s="212" t="s">
        <v>117</v>
      </c>
      <c r="J32" s="213"/>
      <c r="K32" s="213"/>
      <c r="L32" s="213"/>
      <c r="M32" s="213"/>
      <c r="N32" s="213"/>
      <c r="O32" s="213"/>
      <c r="P32" s="214"/>
      <c r="Q32" s="212" t="s">
        <v>122</v>
      </c>
      <c r="R32" s="220"/>
      <c r="S32" s="220"/>
      <c r="T32" s="220"/>
      <c r="U32" s="220"/>
      <c r="V32" s="220"/>
      <c r="W32" s="220"/>
      <c r="X32" s="220"/>
    </row>
    <row r="33" spans="1:24" ht="31" customHeight="1">
      <c r="A33" s="218"/>
      <c r="B33" s="218"/>
      <c r="C33" s="218"/>
      <c r="D33" s="218"/>
      <c r="E33" s="218"/>
      <c r="F33" s="218"/>
      <c r="G33" s="218"/>
      <c r="H33" s="219"/>
      <c r="I33" s="185" t="s">
        <v>118</v>
      </c>
      <c r="J33" s="179"/>
      <c r="K33" s="179"/>
      <c r="L33" s="179"/>
      <c r="M33" s="179"/>
      <c r="N33" s="179"/>
      <c r="O33" s="179"/>
      <c r="P33" s="180"/>
      <c r="Q33" s="212"/>
      <c r="R33" s="220"/>
      <c r="S33" s="220"/>
      <c r="T33" s="220"/>
      <c r="U33" s="220"/>
      <c r="V33" s="220"/>
      <c r="W33" s="220"/>
      <c r="X33" s="220"/>
    </row>
    <row r="34" spans="1:24" ht="15">
      <c r="A34" s="171" t="s">
        <v>58</v>
      </c>
      <c r="B34" s="111"/>
      <c r="C34" s="111"/>
      <c r="D34" s="111"/>
      <c r="E34" s="111"/>
      <c r="F34" s="111"/>
      <c r="G34" s="111"/>
      <c r="H34" s="170"/>
      <c r="I34" s="212" t="s">
        <v>119</v>
      </c>
      <c r="J34" s="213"/>
      <c r="K34" s="213"/>
      <c r="L34" s="213"/>
      <c r="M34" s="213"/>
      <c r="N34" s="213"/>
      <c r="O34" s="213"/>
      <c r="P34" s="214"/>
      <c r="Q34" s="212"/>
      <c r="R34" s="220"/>
      <c r="S34" s="220"/>
      <c r="T34" s="220"/>
      <c r="U34" s="220"/>
      <c r="V34" s="220"/>
      <c r="W34" s="220"/>
      <c r="X34" s="220"/>
    </row>
    <row r="35" spans="1:24" ht="14" customHeight="1">
      <c r="A35" s="206" t="s">
        <v>113</v>
      </c>
      <c r="B35" s="207"/>
      <c r="C35" s="207"/>
      <c r="D35" s="207"/>
      <c r="E35" s="207"/>
      <c r="F35" s="207"/>
      <c r="G35" s="207"/>
      <c r="H35" s="208"/>
      <c r="I35" s="212"/>
      <c r="J35" s="213"/>
      <c r="K35" s="213"/>
      <c r="L35" s="213"/>
      <c r="M35" s="213"/>
      <c r="N35" s="213"/>
      <c r="O35" s="213"/>
      <c r="P35" s="214"/>
      <c r="Q35" s="212"/>
      <c r="R35" s="220"/>
      <c r="S35" s="220"/>
      <c r="T35" s="220"/>
      <c r="U35" s="220"/>
      <c r="V35" s="220"/>
      <c r="W35" s="220"/>
      <c r="X35" s="220"/>
    </row>
    <row r="36" spans="1:24" ht="14" customHeight="1">
      <c r="A36" s="207"/>
      <c r="B36" s="207"/>
      <c r="C36" s="207"/>
      <c r="D36" s="207"/>
      <c r="E36" s="207"/>
      <c r="F36" s="207"/>
      <c r="G36" s="207"/>
      <c r="H36" s="208"/>
      <c r="I36" s="212"/>
      <c r="J36" s="213"/>
      <c r="K36" s="213"/>
      <c r="L36" s="213"/>
      <c r="M36" s="213"/>
      <c r="N36" s="213"/>
      <c r="O36" s="213"/>
      <c r="P36" s="214"/>
      <c r="Q36" s="212"/>
      <c r="R36" s="220"/>
      <c r="S36" s="220"/>
      <c r="T36" s="220"/>
      <c r="U36" s="220"/>
      <c r="V36" s="220"/>
      <c r="W36" s="220"/>
      <c r="X36" s="220"/>
    </row>
    <row r="37" spans="1:24" ht="14" customHeight="1">
      <c r="A37" s="207"/>
      <c r="B37" s="207"/>
      <c r="C37" s="207"/>
      <c r="D37" s="207"/>
      <c r="E37" s="207"/>
      <c r="F37" s="207"/>
      <c r="G37" s="207"/>
      <c r="H37" s="208"/>
      <c r="I37" s="212"/>
      <c r="J37" s="213"/>
      <c r="K37" s="213"/>
      <c r="L37" s="213"/>
      <c r="M37" s="213"/>
      <c r="N37" s="213"/>
      <c r="O37" s="213"/>
      <c r="P37" s="214"/>
      <c r="Q37" s="212"/>
      <c r="R37" s="220"/>
      <c r="S37" s="220"/>
      <c r="T37" s="220"/>
      <c r="U37" s="220"/>
      <c r="V37" s="220"/>
      <c r="W37" s="220"/>
      <c r="X37" s="220"/>
    </row>
    <row r="38" spans="1:24" ht="14" customHeight="1">
      <c r="A38" s="207"/>
      <c r="B38" s="207"/>
      <c r="C38" s="207"/>
      <c r="D38" s="207"/>
      <c r="E38" s="207"/>
      <c r="F38" s="207"/>
      <c r="G38" s="207"/>
      <c r="H38" s="208"/>
      <c r="I38" s="182"/>
      <c r="J38" s="111"/>
      <c r="K38" s="111"/>
      <c r="L38" s="111"/>
      <c r="M38" s="111"/>
      <c r="N38" s="111"/>
      <c r="O38" s="111"/>
      <c r="P38" s="170"/>
      <c r="Q38" s="212"/>
      <c r="R38" s="220"/>
      <c r="S38" s="220"/>
      <c r="T38" s="220"/>
      <c r="U38" s="220"/>
      <c r="V38" s="220"/>
      <c r="W38" s="220"/>
      <c r="X38" s="220"/>
    </row>
    <row r="39" spans="1:24" ht="22" customHeight="1">
      <c r="A39" s="207"/>
      <c r="B39" s="207"/>
      <c r="C39" s="207"/>
      <c r="D39" s="207"/>
      <c r="E39" s="207"/>
      <c r="F39" s="207"/>
      <c r="G39" s="207"/>
      <c r="H39" s="208"/>
      <c r="I39" s="182"/>
      <c r="J39" s="111"/>
      <c r="K39" s="111"/>
      <c r="L39" s="111"/>
      <c r="M39" s="111"/>
      <c r="N39" s="111"/>
      <c r="O39" s="111"/>
      <c r="P39" s="170"/>
      <c r="Q39" s="212"/>
      <c r="R39" s="220"/>
      <c r="S39" s="220"/>
      <c r="T39" s="220"/>
      <c r="U39" s="220"/>
      <c r="V39" s="220"/>
      <c r="W39" s="220"/>
      <c r="X39" s="220"/>
    </row>
    <row r="40" spans="1:24" ht="14" customHeight="1">
      <c r="A40" s="207"/>
      <c r="B40" s="207"/>
      <c r="C40" s="207"/>
      <c r="D40" s="207"/>
      <c r="E40" s="207"/>
      <c r="F40" s="207"/>
      <c r="G40" s="207"/>
      <c r="H40" s="208"/>
      <c r="I40" s="182"/>
      <c r="J40" s="111"/>
      <c r="K40" s="111"/>
      <c r="L40" s="111"/>
      <c r="M40" s="111"/>
      <c r="N40" s="111"/>
      <c r="O40" s="111"/>
      <c r="P40" s="170"/>
    </row>
    <row r="41" spans="1:24" ht="14" customHeight="1">
      <c r="A41" s="207"/>
      <c r="B41" s="207"/>
      <c r="C41" s="207"/>
      <c r="D41" s="207"/>
      <c r="E41" s="207"/>
      <c r="F41" s="207"/>
      <c r="G41" s="207"/>
      <c r="H41" s="208"/>
      <c r="I41" s="182"/>
      <c r="J41" s="111"/>
      <c r="K41" s="111"/>
      <c r="L41" s="111"/>
      <c r="M41" s="111"/>
      <c r="N41" s="111"/>
      <c r="O41" s="111"/>
      <c r="P41" s="170"/>
    </row>
    <row r="42" spans="1:24" ht="14" customHeight="1">
      <c r="A42" s="207"/>
      <c r="B42" s="207"/>
      <c r="C42" s="207"/>
      <c r="D42" s="207"/>
      <c r="E42" s="207"/>
      <c r="F42" s="207"/>
      <c r="G42" s="207"/>
      <c r="H42" s="208"/>
      <c r="I42" s="182"/>
      <c r="J42" s="111"/>
      <c r="K42" s="111"/>
      <c r="L42" s="111"/>
      <c r="M42" s="111"/>
      <c r="N42" s="111"/>
      <c r="O42" s="111"/>
      <c r="P42" s="170"/>
    </row>
    <row r="43" spans="1:24">
      <c r="A43" s="207"/>
      <c r="B43" s="207"/>
      <c r="C43" s="207"/>
      <c r="D43" s="207"/>
      <c r="E43" s="207"/>
      <c r="F43" s="207"/>
      <c r="G43" s="207"/>
      <c r="H43" s="208"/>
      <c r="I43" s="182"/>
      <c r="J43" s="111"/>
      <c r="K43" s="111"/>
      <c r="L43" s="111"/>
      <c r="M43" s="111"/>
      <c r="N43" s="111"/>
      <c r="O43" s="111"/>
      <c r="P43" s="170"/>
    </row>
    <row r="44" spans="1:24" ht="15">
      <c r="A44" s="171" t="s">
        <v>101</v>
      </c>
      <c r="B44" s="111"/>
      <c r="C44" s="111"/>
      <c r="D44" s="111"/>
      <c r="E44" s="111"/>
      <c r="F44" s="111"/>
      <c r="G44" s="111"/>
      <c r="H44" s="170"/>
      <c r="I44" s="182"/>
      <c r="J44" s="111"/>
      <c r="K44" s="111"/>
      <c r="L44" s="111"/>
      <c r="M44" s="111"/>
      <c r="N44" s="111"/>
      <c r="O44" s="111"/>
      <c r="P44" s="170"/>
    </row>
    <row r="45" spans="1:24" ht="14" customHeight="1">
      <c r="A45" s="209" t="s">
        <v>102</v>
      </c>
      <c r="B45" s="209"/>
      <c r="C45" s="209"/>
      <c r="D45" s="209"/>
      <c r="E45" s="209"/>
      <c r="F45" s="209"/>
      <c r="G45" s="209"/>
      <c r="H45" s="210"/>
      <c r="I45" s="182"/>
      <c r="J45" s="111"/>
      <c r="K45" s="111"/>
      <c r="L45" s="111"/>
      <c r="M45" s="111"/>
      <c r="N45" s="111"/>
      <c r="O45" s="111"/>
      <c r="P45" s="170"/>
    </row>
    <row r="46" spans="1:24">
      <c r="A46" s="209"/>
      <c r="B46" s="209"/>
      <c r="C46" s="209"/>
      <c r="D46" s="209"/>
      <c r="E46" s="209"/>
      <c r="F46" s="209"/>
      <c r="G46" s="209"/>
      <c r="H46" s="210"/>
      <c r="I46" s="182"/>
      <c r="J46" s="111"/>
      <c r="K46" s="111"/>
      <c r="L46" s="111"/>
      <c r="M46" s="111"/>
      <c r="N46" s="111"/>
      <c r="O46" s="111"/>
      <c r="P46" s="170"/>
    </row>
    <row r="47" spans="1:24" ht="17" customHeight="1">
      <c r="A47" s="209"/>
      <c r="B47" s="209"/>
      <c r="C47" s="209"/>
      <c r="D47" s="209"/>
      <c r="E47" s="209"/>
      <c r="F47" s="209"/>
      <c r="G47" s="209"/>
      <c r="H47" s="210"/>
      <c r="I47" s="182"/>
      <c r="J47" s="111"/>
      <c r="K47" s="111"/>
      <c r="L47" s="111"/>
      <c r="M47" s="111"/>
      <c r="N47" s="111"/>
      <c r="O47" s="111"/>
      <c r="P47" s="170"/>
    </row>
    <row r="48" spans="1:24">
      <c r="A48" s="174"/>
      <c r="B48" s="174"/>
      <c r="C48" s="174"/>
      <c r="D48" s="174"/>
      <c r="E48" s="174"/>
      <c r="F48" s="174"/>
      <c r="G48" s="174"/>
      <c r="H48" s="175"/>
      <c r="I48" s="182"/>
      <c r="J48" s="111"/>
      <c r="K48" s="111"/>
      <c r="L48" s="111"/>
      <c r="M48" s="111"/>
      <c r="N48" s="111"/>
      <c r="O48" s="111"/>
      <c r="P48" s="170"/>
    </row>
    <row r="49" spans="1:16" ht="15">
      <c r="A49" s="171" t="s">
        <v>103</v>
      </c>
      <c r="B49" s="174"/>
      <c r="C49" s="174"/>
      <c r="D49" s="174"/>
      <c r="E49" s="174"/>
      <c r="F49" s="174"/>
      <c r="G49" s="174"/>
      <c r="H49" s="175"/>
      <c r="I49" s="182"/>
      <c r="J49" s="111"/>
      <c r="K49" s="111"/>
      <c r="L49" s="111"/>
      <c r="M49" s="111"/>
      <c r="N49" s="111"/>
      <c r="O49" s="111"/>
      <c r="P49" s="170"/>
    </row>
    <row r="50" spans="1:16">
      <c r="A50" s="209" t="s">
        <v>104</v>
      </c>
      <c r="B50" s="209"/>
      <c r="C50" s="209"/>
      <c r="D50" s="209"/>
      <c r="E50" s="209"/>
      <c r="F50" s="209"/>
      <c r="G50" s="209"/>
      <c r="H50" s="210"/>
      <c r="I50" s="182"/>
      <c r="J50" s="111"/>
      <c r="K50" s="111"/>
      <c r="L50" s="111"/>
      <c r="M50" s="111"/>
      <c r="N50" s="111"/>
      <c r="O50" s="111"/>
      <c r="P50" s="170"/>
    </row>
    <row r="51" spans="1:16">
      <c r="A51" s="209"/>
      <c r="B51" s="209"/>
      <c r="C51" s="209"/>
      <c r="D51" s="209"/>
      <c r="E51" s="209"/>
      <c r="F51" s="209"/>
      <c r="G51" s="209"/>
      <c r="H51" s="210"/>
      <c r="I51" s="182"/>
      <c r="J51" s="111"/>
      <c r="K51" s="111"/>
      <c r="L51" s="111"/>
      <c r="M51" s="111"/>
      <c r="N51" s="111"/>
      <c r="O51" s="111"/>
      <c r="P51" s="170"/>
    </row>
    <row r="52" spans="1:16">
      <c r="A52" s="209"/>
      <c r="B52" s="209"/>
      <c r="C52" s="209"/>
      <c r="D52" s="209"/>
      <c r="E52" s="209"/>
      <c r="F52" s="209"/>
      <c r="G52" s="209"/>
      <c r="H52" s="210"/>
      <c r="I52" s="182"/>
      <c r="J52" s="111"/>
      <c r="K52" s="111"/>
      <c r="L52" s="111"/>
      <c r="M52" s="111"/>
      <c r="N52" s="111"/>
      <c r="O52" s="111"/>
      <c r="P52" s="170"/>
    </row>
    <row r="53" spans="1:16">
      <c r="A53" s="209"/>
      <c r="B53" s="209"/>
      <c r="C53" s="209"/>
      <c r="D53" s="209"/>
      <c r="E53" s="209"/>
      <c r="F53" s="209"/>
      <c r="G53" s="209"/>
      <c r="H53" s="210"/>
      <c r="I53" s="182"/>
      <c r="J53" s="111"/>
      <c r="K53" s="111"/>
      <c r="L53" s="111"/>
      <c r="M53" s="111"/>
      <c r="N53" s="111"/>
      <c r="O53" s="111"/>
      <c r="P53" s="170"/>
    </row>
  </sheetData>
  <sheetProtection password="F16F" sheet="1" objects="1" scenarios="1"/>
  <mergeCells count="13">
    <mergeCell ref="A35:H43"/>
    <mergeCell ref="A45:H47"/>
    <mergeCell ref="A50:H53"/>
    <mergeCell ref="A1:X4"/>
    <mergeCell ref="I16:P16"/>
    <mergeCell ref="I18:L18"/>
    <mergeCell ref="A16:H20"/>
    <mergeCell ref="A23:H33"/>
    <mergeCell ref="I19:P29"/>
    <mergeCell ref="I32:P32"/>
    <mergeCell ref="I34:P37"/>
    <mergeCell ref="Q15:X29"/>
    <mergeCell ref="Q32:X39"/>
  </mergeCells>
  <pageMargins left="0.511811024" right="0.511811024" top="0.78740157499999996" bottom="0.78740157499999996" header="0.31496062000000002" footer="0.31496062000000002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35"/>
  <sheetViews>
    <sheetView workbookViewId="0">
      <selection activeCell="B4" sqref="B4"/>
    </sheetView>
  </sheetViews>
  <sheetFormatPr baseColWidth="10" defaultColWidth="8.83203125" defaultRowHeight="13" x14ac:dyDescent="0"/>
  <cols>
    <col min="1" max="1" width="7.5" style="4" customWidth="1"/>
    <col min="2" max="11" width="11.6640625" style="4" customWidth="1"/>
    <col min="12" max="12" width="11.6640625" style="195" customWidth="1"/>
    <col min="13" max="15" width="11.6640625" style="4" customWidth="1"/>
    <col min="16" max="16384" width="8.83203125" style="4"/>
  </cols>
  <sheetData>
    <row r="1" spans="1:18" ht="15">
      <c r="A1" s="124" t="s">
        <v>41</v>
      </c>
      <c r="B1" s="124"/>
      <c r="C1" s="121"/>
      <c r="D1" s="121"/>
      <c r="E1" s="124" t="s">
        <v>58</v>
      </c>
      <c r="F1" s="134"/>
      <c r="G1" s="149">
        <v>1</v>
      </c>
      <c r="H1" s="134"/>
      <c r="I1" s="121"/>
      <c r="J1" s="124" t="s">
        <v>91</v>
      </c>
      <c r="K1" s="134"/>
      <c r="L1" s="168"/>
      <c r="M1" s="150"/>
      <c r="N1" s="150"/>
      <c r="O1" s="150"/>
      <c r="P1" s="150"/>
      <c r="Q1" s="150"/>
      <c r="R1" s="150"/>
    </row>
    <row r="2" spans="1:18" ht="15">
      <c r="A2" s="124"/>
      <c r="B2" s="124"/>
      <c r="C2" s="121"/>
      <c r="D2" s="121"/>
      <c r="E2" s="134"/>
      <c r="F2" s="134"/>
      <c r="G2" s="134"/>
      <c r="H2" s="134"/>
      <c r="I2" s="121"/>
      <c r="J2" s="134"/>
      <c r="K2" s="134"/>
      <c r="L2" s="168"/>
      <c r="M2" s="150"/>
      <c r="N2" s="150"/>
      <c r="O2" s="150"/>
      <c r="P2" s="150"/>
      <c r="Q2" s="150"/>
      <c r="R2" s="150"/>
    </row>
    <row r="3" spans="1:18" ht="15">
      <c r="A3" s="138" t="s">
        <v>42</v>
      </c>
      <c r="B3" s="139"/>
      <c r="C3" s="121"/>
      <c r="D3" s="121"/>
      <c r="E3" s="121"/>
      <c r="F3" s="121"/>
      <c r="G3" s="121"/>
      <c r="H3" s="151"/>
      <c r="I3" s="121"/>
      <c r="J3" s="121"/>
      <c r="K3" s="121"/>
      <c r="L3" s="167"/>
      <c r="M3" s="150"/>
      <c r="N3" s="150"/>
      <c r="O3" s="150"/>
      <c r="P3" s="150"/>
      <c r="Q3" s="150"/>
      <c r="R3" s="150"/>
    </row>
    <row r="4" spans="1:18" ht="15">
      <c r="A4" s="152" t="s">
        <v>43</v>
      </c>
      <c r="B4" s="143">
        <v>0</v>
      </c>
      <c r="C4" s="121" t="s">
        <v>44</v>
      </c>
      <c r="D4" s="121"/>
      <c r="E4" s="121"/>
      <c r="F4" s="121"/>
      <c r="G4" s="121"/>
      <c r="H4" s="121"/>
      <c r="I4" s="121"/>
      <c r="J4" s="223" t="s">
        <v>14</v>
      </c>
      <c r="K4" s="224"/>
      <c r="L4" s="169" t="str">
        <f>IF(AND($G$1=1,A15="R",B8&lt;B11),A!H9,IF(AND($G$1=1,A15="R",(B8-B11)&lt;B12),A!K9,IF(AND($G$1=1,A15="R",(B8-B11)&gt;B12),A!N9,IF(AND($G$1=2,A15="R",B8&lt;B11),A!H17,IF(AND($G$1=2,A15="R",(B8-B11)&lt;B12),A!K17,IF(AND($G$1=2,A15="R",(B8-B11)&gt;B12),A!N17,IF(AND($G$1=3,A15="R",B8&lt;B11),A!H25,IF(AND($G$1=3,A15="R",(B8-B11)&lt;B12),A!K25,IF(AND($G$1=3,A15="R",(B8-B11)&gt;B12),A!N25,IF(AND($G$1=1,A15="Q",B8&lt;B11),A!I9,IF(AND($G$1=1,A15="Q",(B8-B11)&lt;B12),A!L9,IF(AND($G$1=1,A15="Q",(B8-B11)&gt;B12),A!O9,IF(AND($G$1=2,A15="Q",B8&lt;B11),A!I17,IF(AND($G$1=2,A15="Q",(B8-B11)&lt;B12),A!L17,IF(AND($G$1=2,A15="Q",(B8-B11)&gt;B12),A!O17,IF(AND($G$1=3,A15="Q",B8&lt;B11),A!I25,IF(AND($G$1=3,A15="Q",(B8-B11)&lt;B12),A!L25,IF(AND($G$1=3,A15="Q",(B8-B11)&gt;B12),A!O25,IF(AND($G$1=1,A15="C",B8&lt;B11),A!J9,IF(AND($G$1=1,A15="C",(B8-B11)&lt;B12),A!M9,IF(AND($G$1=1,A15="C",(B8-B11)&gt;B12),A!P9,IF(AND($G$1=2,A15="C",B8&lt;B11),A!J17,IF(AND($G$1=2,A15="C",(B8-B11)&lt;B12),A!M17,IF(AND($G$1=2,A15="C",(B8-B11)&gt;B12),A!P17,IF(AND($G$1=3,A15="C",B8&lt;B11),A!J25,IF(AND($G$1=3,A15="C",(B8-B11)&lt;B12),A!M25,IF(AND($G$1=3,A15="C",(B8-B11)&gt;B12),A!P25,"")))))))))))))))))))))))))))</f>
        <v/>
      </c>
      <c r="M4" s="150"/>
      <c r="N4" s="150"/>
      <c r="O4" s="150"/>
      <c r="P4" s="150"/>
      <c r="Q4" s="150"/>
      <c r="R4" s="150"/>
    </row>
    <row r="5" spans="1:18" ht="15">
      <c r="A5" s="142" t="s">
        <v>45</v>
      </c>
      <c r="B5" s="143">
        <v>0</v>
      </c>
      <c r="C5" s="121" t="s">
        <v>46</v>
      </c>
      <c r="D5" s="121"/>
      <c r="E5" s="121"/>
      <c r="F5" s="121"/>
      <c r="G5" s="121"/>
      <c r="H5" s="153"/>
      <c r="I5" s="121"/>
      <c r="J5" s="223" t="s">
        <v>85</v>
      </c>
      <c r="K5" s="224"/>
      <c r="L5" s="169" t="str">
        <f>IF(AND($G$1=1,A15="R",B8&lt;B11),A!H10,IF(AND($G$1=1,A15="R",(B8-B11)&lt;B12),A!K10,IF(AND($G$1=1,A15="R",(B8-B11)&gt;B12),A!N10,IF(AND($G$1=2,A15="R",B8&lt;B11),A!H18,IF(AND($G$1=2,A15="R",(B8-B11)&lt;B12),A!K18,IF(AND($G$1=2,A15="R",(B8-B11)&gt;B12),A!N18,IF(AND($G$1=3,A15="R",B8&lt;B11),A!H26,IF(AND($G$1=3,A15="R",(B8-B11)&lt;B12),A!K26,IF(AND($G$1=3,A15="R",(B8-B11)&gt;B12),A!N26,IF(AND($G$1=1,A15="Q",B8&lt;B11),A!I10,IF(AND($G$1=1,A15="Q",(B8-B11)&lt;B12),A!L10,IF(AND($G$1=1,A15="Q",(B8-B11)&gt;B12),A!O10,IF(AND($G$1=2,A15="Q",B8&lt;B11),A!I18,IF(AND($G$1=2,A15="Q",(B8-B11)&lt;B12),A!L18,IF(AND($G$1=2,A15="Q",(B8-B11)&gt;B12),A!O18,IF(AND($G$1=3,A15="Q",B8&lt;B11),A!I26,IF(AND($G$1=3,A15="Q",(B8-B11)&lt;B12),A!L26,IF(AND($G$1=3,A15="Q",(B8-B11)&gt;B12),A!O26,IF(AND($G$1=1,A15="C",B8&lt;B11),A!J10,IF(AND($G$1=1,A15="C",(B8-B11)&lt;B12),A!M10,IF(AND($G$1=1,A15="C",(B8-B11)&gt;B12),A!P10,IF(AND($G$1=2,A15="C",B8&lt;B11),A!J18,IF(AND($G$1=2,A15="C",(B8-B11)&lt;B12),A!M18,IF(AND($G$1=2,A15="C",(B8-B11)&gt;B12),A!P18,IF(AND($G$1=3,A15="C",B8&lt;B11),A!J26,IF(AND($G$1=3,A15="C",(B8-B11)&lt;B12),A!M26,IF(AND($G$1=3,A15="C",(B8-B11)&gt;B12),A!P26,"")))))))))))))))))))))))))))</f>
        <v/>
      </c>
      <c r="M5" s="150"/>
      <c r="N5" s="150"/>
      <c r="O5" s="150"/>
      <c r="P5" s="150"/>
      <c r="Q5" s="150"/>
      <c r="R5" s="150"/>
    </row>
    <row r="6" spans="1:18" ht="15">
      <c r="A6" s="142" t="s">
        <v>47</v>
      </c>
      <c r="B6" s="143">
        <v>0</v>
      </c>
      <c r="C6" s="121" t="s">
        <v>48</v>
      </c>
      <c r="D6" s="121"/>
      <c r="E6" s="121"/>
      <c r="F6" s="121"/>
      <c r="G6" s="121"/>
      <c r="H6" s="154"/>
      <c r="I6" s="121"/>
      <c r="J6" s="155" t="s">
        <v>16</v>
      </c>
      <c r="K6" s="156"/>
      <c r="L6" s="169" t="str">
        <f>IF(AND($G$1=1,A15="R",B8&lt;B11),A!H11,IF(AND($G$1=1,A15="R",(B8-B11)&lt;B12),A!K11,IF(AND($G$1=1,A15="R",(B8-B11)&gt;B12),A!N11,IF(AND($G$1=2,A15="R",B8&lt;B11),A!H19,IF(AND($G$1=2,A15="R",(B8-B11)&lt;B12),A!K19,IF(AND($G$1=2,A15="R",(B8-B11)&gt;B12),A!N19,IF(AND($G$1=3,A15="R",B8&lt;B11),A!H27,IF(AND($G$1=3,A15="R",(B8-B11)&lt;B12),A!K27,IF(AND($G$1=3,A15="R",(B8-B11)&gt;B12),A!N27,IF(AND($G$1=1,A15="Q",B8&lt;B11),A!I11,IF(AND($G$1=1,A15="Q",(B8-B11)&lt;B12),A!L11,IF(AND($G$1=1,A15="Q",(B8-B11)&gt;B12),A!O11,IF(AND($G$1=2,A15="Q",B8&lt;B11),A!I19,IF(AND($G$1=2,A15="Q",(B8-B11)&lt;B12),A!L19,IF(AND($G$1=2,A15="Q",(B8-B11)&gt;B12),A!O19,IF(AND($G$1=3,A15="Q",B8&lt;B11),A!I27,IF(AND($G$1=3,A15="Q",(B8-B11)&lt;B12),A!L27,IF(AND($G$1=3,A15="Q",(B8-B11)&gt;B12),A!O27,IF(AND($G$1=1,A15="C",B8&lt;B11),A!J11,IF(AND($G$1=1,A15="C",(B8-B11)&lt;B12),A!M11,IF(AND($G$1=1,A15="C",(B8-B11)&gt;B12),A!P11,IF(AND($G$1=2,A15="C",B8&lt;B11),A!J19,IF(AND($G$1=2,A15="C",(B8-B11)&lt;B12),A!M19,IF(AND($G$1=2,A15="C",(B8-B11)&gt;B12),A!P19,IF(AND($G$1=3,A15="C",B8&lt;B11),A!J27,IF(AND($G$1=3,A15="C",(B8-B11)&lt;B12),A!M27,IF(AND($G$1=3,A15="C",(B8-B11)&gt;B12),A!P27,"")))))))))))))))))))))))))))</f>
        <v/>
      </c>
      <c r="M6" s="150"/>
      <c r="N6" s="150"/>
      <c r="O6" s="150"/>
      <c r="P6" s="150"/>
      <c r="Q6" s="150"/>
      <c r="R6" s="150"/>
    </row>
    <row r="7" spans="1:18" ht="17">
      <c r="A7" s="142" t="s">
        <v>95</v>
      </c>
      <c r="B7" s="157">
        <v>0</v>
      </c>
      <c r="C7" s="121" t="s">
        <v>48</v>
      </c>
      <c r="D7" s="121"/>
      <c r="E7" s="121"/>
      <c r="F7" s="121"/>
      <c r="G7" s="121"/>
      <c r="H7" s="145"/>
      <c r="I7" s="121"/>
      <c r="J7" s="223" t="s">
        <v>17</v>
      </c>
      <c r="K7" s="224"/>
      <c r="L7" s="169" t="str">
        <f>IF(AND($G$1=1,A15="R",B8&lt;B11),A!H12,IF(AND($G$1=1,A15="R",(B8-B11)&lt;B12),A!K12,IF(AND($G$1=1,A15="R",(B8-B11)&gt;B12),A!N12,IF(AND($G$1=2,A15="R",B8&lt;B11),A!H20,IF(AND($G$1=2,A15="R",(B8-B11)&lt;B12),A!K20,IF(AND($G$1=2,A15="R",(B8-B11)&gt;B12),A!N20,IF(AND($G$1=3,A15="R",B8&lt;B11),A!H28,IF(AND($G$1=3,A15="R",(B8-B11)&lt;B12),A!K28,IF(AND($G$1=3,A15="R",(B8-B11)&gt;B12),A!N28,IF(AND($G$1=1,A15="Q",B8&lt;B11),A!I12,IF(AND($G$1=1,A15="Q",(B8-B11)&lt;B12),A!L12,IF(AND($G$1=1,A15="Q",(B8-B11)&gt;B12),A!O12,IF(AND($G$1=2,A15="Q",B8&lt;B11),A!I20,IF(AND($G$1=2,A15="Q",(B8-B11)&lt;B12),A!L20,IF(AND($G$1=2,A15="Q",(B8-B11)&gt;B12),A!O20,IF(AND($G$1=3,A15="Q",B8&lt;B11),A!I28,IF(AND($G$1=3,A15="Q",(B8-B11)&lt;B12),A!L28,IF(AND($G$1=3,A15="Q",(B8-B11)&gt;B12),A!O28,IF(AND($G$1=1,A15="C",B8&lt;B11),A!J12,IF(AND($G$1=1,A15="C",(B8-B11)&lt;B12),A!M12,IF(AND($G$1=1,A15="C",(B8-B11)&gt;B12),A!P12,IF(AND($G$1=2,A15="C",B8&lt;B11),A!J20,IF(AND($G$1=2,A15="C",(B8-B11)&lt;B12),A!M20,IF(AND($G$1=2,A15="C",(B8-B11)&gt;B12),A!P20,IF(AND($G$1=3,A15="C",B8&lt;B11),A!J28,IF(AND($G$1=3,A15="C",(B8-B11)&lt;B12),A!M28,IF(AND($G$1=3,A15="C",(B8-B11)&gt;B12),A!P28,"")))))))))))))))))))))))))))</f>
        <v/>
      </c>
      <c r="M7" s="150"/>
      <c r="N7" s="150"/>
      <c r="O7" s="150"/>
      <c r="P7" s="150"/>
      <c r="Q7" s="150"/>
      <c r="R7" s="150"/>
    </row>
    <row r="8" spans="1:18" ht="15">
      <c r="A8" s="142" t="s">
        <v>49</v>
      </c>
      <c r="B8" s="157">
        <v>0</v>
      </c>
      <c r="C8" s="121" t="s">
        <v>50</v>
      </c>
      <c r="D8" s="121"/>
      <c r="E8" s="121"/>
      <c r="F8" s="121"/>
      <c r="G8" s="121"/>
      <c r="H8" s="145"/>
      <c r="I8" s="121"/>
      <c r="J8" s="121"/>
      <c r="K8" s="121"/>
      <c r="L8" s="167"/>
      <c r="M8" s="150"/>
      <c r="N8" s="150"/>
      <c r="O8" s="150"/>
      <c r="P8" s="150"/>
      <c r="Q8" s="150"/>
      <c r="R8" s="150"/>
    </row>
    <row r="9" spans="1:18" ht="15">
      <c r="A9" s="145"/>
      <c r="B9" s="146"/>
      <c r="C9" s="121"/>
      <c r="D9" s="121"/>
      <c r="E9" s="121"/>
      <c r="F9" s="121"/>
      <c r="G9" s="121"/>
      <c r="H9" s="145"/>
      <c r="I9" s="121"/>
      <c r="J9" s="121"/>
      <c r="K9" s="121"/>
      <c r="L9" s="167"/>
      <c r="M9" s="150"/>
      <c r="N9" s="150"/>
      <c r="O9" s="150"/>
      <c r="P9" s="150"/>
      <c r="Q9" s="150"/>
      <c r="R9" s="150"/>
    </row>
    <row r="10" spans="1:18" ht="15">
      <c r="A10" s="138" t="s">
        <v>93</v>
      </c>
      <c r="B10" s="146"/>
      <c r="C10" s="121"/>
      <c r="D10" s="121"/>
      <c r="E10" s="121"/>
      <c r="F10" s="121"/>
      <c r="G10" s="121"/>
      <c r="H10" s="145"/>
      <c r="I10" s="121"/>
      <c r="J10" s="121"/>
      <c r="K10" s="121"/>
      <c r="L10" s="167"/>
      <c r="M10" s="150"/>
      <c r="N10" s="150"/>
      <c r="O10" s="150"/>
      <c r="P10" s="150"/>
      <c r="Q10" s="150"/>
      <c r="R10" s="150"/>
    </row>
    <row r="11" spans="1:18" ht="15">
      <c r="A11" s="142" t="s">
        <v>56</v>
      </c>
      <c r="B11" s="158">
        <v>0</v>
      </c>
      <c r="C11" s="121" t="s">
        <v>50</v>
      </c>
      <c r="D11" s="121"/>
      <c r="E11" s="121"/>
      <c r="F11" s="121"/>
      <c r="G11" s="121"/>
      <c r="H11" s="145"/>
      <c r="I11" s="121"/>
      <c r="J11" s="121"/>
      <c r="K11" s="121"/>
      <c r="L11" s="167"/>
      <c r="M11" s="150"/>
      <c r="N11" s="150"/>
      <c r="O11" s="150"/>
      <c r="P11" s="150"/>
      <c r="Q11" s="150"/>
      <c r="R11" s="150"/>
    </row>
    <row r="12" spans="1:18" ht="15">
      <c r="A12" s="142" t="s">
        <v>52</v>
      </c>
      <c r="B12" s="148">
        <v>0</v>
      </c>
      <c r="C12" s="121" t="s">
        <v>50</v>
      </c>
      <c r="D12" s="121"/>
      <c r="E12" s="121"/>
      <c r="F12" s="121"/>
      <c r="G12" s="121"/>
      <c r="H12" s="145"/>
      <c r="I12" s="121"/>
      <c r="J12" s="124" t="s">
        <v>92</v>
      </c>
      <c r="K12" s="134"/>
      <c r="L12" s="168"/>
      <c r="M12" s="150"/>
      <c r="N12" s="150"/>
      <c r="O12" s="150"/>
      <c r="P12" s="150"/>
      <c r="Q12" s="150"/>
      <c r="R12" s="150"/>
    </row>
    <row r="13" spans="1:18" ht="15">
      <c r="A13" s="142" t="s">
        <v>53</v>
      </c>
      <c r="B13" s="148">
        <v>0</v>
      </c>
      <c r="C13" s="121" t="s">
        <v>50</v>
      </c>
      <c r="D13" s="121"/>
      <c r="E13" s="121"/>
      <c r="F13" s="121"/>
      <c r="G13" s="121"/>
      <c r="H13" s="145"/>
      <c r="I13" s="121"/>
      <c r="J13" s="134"/>
      <c r="K13" s="134"/>
      <c r="L13" s="168"/>
      <c r="M13" s="150"/>
      <c r="N13" s="150"/>
      <c r="O13" s="150"/>
      <c r="P13" s="150"/>
      <c r="Q13" s="150"/>
      <c r="R13" s="150"/>
    </row>
    <row r="14" spans="1:18" ht="15">
      <c r="A14" s="142" t="s">
        <v>54</v>
      </c>
      <c r="B14" s="148">
        <v>0</v>
      </c>
      <c r="C14" s="121" t="s">
        <v>50</v>
      </c>
      <c r="D14" s="121"/>
      <c r="E14" s="134"/>
      <c r="F14" s="146"/>
      <c r="G14" s="134"/>
      <c r="H14" s="134"/>
      <c r="I14" s="121"/>
      <c r="J14" s="121" t="s">
        <v>73</v>
      </c>
      <c r="K14" s="159">
        <v>3</v>
      </c>
      <c r="L14" s="167"/>
      <c r="M14" s="150"/>
      <c r="N14" s="150"/>
      <c r="O14" s="150"/>
      <c r="P14" s="150"/>
      <c r="Q14" s="150"/>
      <c r="R14" s="150"/>
    </row>
    <row r="15" spans="1:18" ht="15" customHeight="1">
      <c r="A15" s="221" t="str">
        <f>IF(AND(B12=B13,B12&gt;0,B12&gt;0),"Q",(IF(AND(B13&lt;&gt;B12,B14=0),"R",(IF(AND(B14&lt;&gt;0,B13=0,B12=0),"C","VERIFICAR DIMENSÕES")))))</f>
        <v>VERIFICAR DIMENSÕES</v>
      </c>
      <c r="B15" s="221"/>
      <c r="C15" s="121"/>
      <c r="D15" s="121"/>
      <c r="E15" s="134"/>
      <c r="F15" s="146"/>
      <c r="G15" s="134"/>
      <c r="H15" s="134"/>
      <c r="I15" s="121"/>
      <c r="J15" s="121"/>
      <c r="K15" s="121"/>
      <c r="L15" s="167"/>
      <c r="M15" s="150"/>
      <c r="N15" s="150"/>
      <c r="O15" s="150"/>
      <c r="P15" s="150"/>
      <c r="Q15" s="150"/>
      <c r="R15" s="150"/>
    </row>
    <row r="16" spans="1:18" ht="15">
      <c r="A16" s="222"/>
      <c r="B16" s="222"/>
      <c r="C16" s="121"/>
      <c r="D16" s="121"/>
      <c r="E16" s="153"/>
      <c r="F16" s="146"/>
      <c r="G16" s="153"/>
      <c r="H16" s="153"/>
      <c r="I16" s="121"/>
      <c r="J16" s="223" t="s">
        <v>14</v>
      </c>
      <c r="K16" s="224"/>
      <c r="L16" s="169" t="e">
        <f>IF(L4=0,"",L4/$K$14)</f>
        <v>#VALUE!</v>
      </c>
      <c r="M16" s="150"/>
      <c r="N16" s="150"/>
      <c r="O16" s="150"/>
      <c r="P16" s="150"/>
      <c r="Q16" s="150"/>
      <c r="R16" s="150"/>
    </row>
    <row r="17" spans="1:18" ht="15">
      <c r="A17" s="138"/>
      <c r="B17" s="146"/>
      <c r="C17" s="146"/>
      <c r="D17" s="121"/>
      <c r="E17" s="121"/>
      <c r="F17" s="121"/>
      <c r="G17" s="121"/>
      <c r="H17" s="121"/>
      <c r="I17" s="121"/>
      <c r="J17" s="223" t="s">
        <v>85</v>
      </c>
      <c r="K17" s="224"/>
      <c r="L17" s="169" t="e">
        <f t="shared" ref="L17:L19" si="0">IF(L5=0,"",L5/$K$14)</f>
        <v>#VALUE!</v>
      </c>
      <c r="M17" s="150"/>
      <c r="N17" s="150"/>
      <c r="O17" s="150"/>
      <c r="P17" s="150"/>
      <c r="Q17" s="150"/>
      <c r="R17" s="150"/>
    </row>
    <row r="18" spans="1:18" ht="15">
      <c r="A18" s="146"/>
      <c r="B18" s="146"/>
      <c r="C18" s="146"/>
      <c r="D18" s="121"/>
      <c r="E18" s="121"/>
      <c r="F18" s="121"/>
      <c r="G18" s="121"/>
      <c r="H18" s="121"/>
      <c r="I18" s="121"/>
      <c r="J18" s="223" t="s">
        <v>16</v>
      </c>
      <c r="K18" s="224"/>
      <c r="L18" s="169" t="e">
        <f t="shared" si="0"/>
        <v>#VALUE!</v>
      </c>
      <c r="M18" s="150"/>
      <c r="N18" s="150"/>
      <c r="O18" s="150"/>
      <c r="P18" s="150"/>
      <c r="Q18" s="150"/>
      <c r="R18" s="150"/>
    </row>
    <row r="19" spans="1:18" ht="15">
      <c r="A19" s="139"/>
      <c r="B19" s="160"/>
      <c r="C19" s="146"/>
      <c r="D19" s="161"/>
      <c r="E19" s="162" t="s">
        <v>83</v>
      </c>
      <c r="F19" s="162" t="s">
        <v>84</v>
      </c>
      <c r="G19" s="161"/>
      <c r="H19" s="121"/>
      <c r="I19" s="121"/>
      <c r="J19" s="223" t="s">
        <v>17</v>
      </c>
      <c r="K19" s="224"/>
      <c r="L19" s="169" t="e">
        <f t="shared" si="0"/>
        <v>#VALUE!</v>
      </c>
      <c r="M19" s="150"/>
      <c r="N19" s="150"/>
      <c r="O19" s="150"/>
      <c r="P19" s="150"/>
      <c r="Q19" s="150"/>
      <c r="R19" s="150"/>
    </row>
    <row r="20" spans="1:18">
      <c r="A20" s="163"/>
      <c r="B20" s="164"/>
      <c r="C20" s="140"/>
      <c r="D20" s="165"/>
      <c r="E20" s="166">
        <v>50</v>
      </c>
      <c r="F20" s="166">
        <v>0</v>
      </c>
      <c r="G20" s="165"/>
      <c r="H20" s="150"/>
      <c r="I20" s="150"/>
      <c r="J20" s="150"/>
      <c r="K20" s="150"/>
      <c r="M20" s="150"/>
      <c r="N20" s="150"/>
      <c r="O20" s="150"/>
      <c r="P20" s="150"/>
      <c r="Q20" s="150"/>
      <c r="R20" s="150"/>
    </row>
    <row r="21" spans="1:18">
      <c r="A21" s="163"/>
      <c r="B21" s="164"/>
      <c r="C21" s="140"/>
      <c r="D21" s="165"/>
      <c r="E21" s="166">
        <v>0</v>
      </c>
      <c r="F21" s="166">
        <v>31</v>
      </c>
      <c r="G21" s="165"/>
      <c r="H21" s="150"/>
      <c r="I21" s="150"/>
      <c r="J21" s="150"/>
      <c r="K21" s="150"/>
      <c r="M21" s="150"/>
      <c r="N21" s="150"/>
      <c r="O21" s="150"/>
      <c r="P21" s="150"/>
      <c r="Q21" s="150"/>
      <c r="R21" s="150"/>
    </row>
    <row r="22" spans="1:18">
      <c r="A22" s="163"/>
      <c r="B22" s="164"/>
      <c r="C22" s="144"/>
      <c r="D22" s="165"/>
      <c r="E22" s="166">
        <v>100</v>
      </c>
      <c r="F22" s="166">
        <v>0</v>
      </c>
      <c r="G22" s="165"/>
      <c r="H22" s="150"/>
      <c r="I22" s="150"/>
      <c r="J22" s="150"/>
      <c r="K22" s="150"/>
      <c r="M22" s="150"/>
      <c r="N22" s="150"/>
      <c r="O22" s="150"/>
      <c r="P22" s="150"/>
      <c r="Q22" s="150"/>
      <c r="R22" s="150"/>
    </row>
    <row r="23" spans="1:18">
      <c r="A23" s="163"/>
      <c r="B23" s="164"/>
      <c r="C23" s="144"/>
      <c r="D23" s="165"/>
      <c r="E23" s="166">
        <v>0</v>
      </c>
      <c r="F23" s="166">
        <v>35</v>
      </c>
      <c r="G23" s="165"/>
      <c r="H23" s="150"/>
      <c r="I23" s="150"/>
      <c r="J23" s="150"/>
      <c r="K23" s="150"/>
      <c r="M23" s="150"/>
      <c r="N23" s="150"/>
      <c r="O23" s="150"/>
      <c r="P23" s="150"/>
      <c r="Q23" s="150"/>
      <c r="R23" s="150"/>
    </row>
    <row r="24" spans="1:18">
      <c r="A24" s="163"/>
      <c r="B24" s="164"/>
      <c r="C24" s="144"/>
      <c r="D24" s="165"/>
      <c r="E24" s="165"/>
      <c r="F24" s="165"/>
      <c r="G24" s="165"/>
      <c r="H24" s="150"/>
      <c r="I24" s="150"/>
      <c r="J24" s="150"/>
      <c r="K24" s="150"/>
      <c r="M24" s="150"/>
      <c r="N24" s="150"/>
      <c r="O24" s="150"/>
      <c r="P24" s="150"/>
      <c r="Q24" s="150"/>
      <c r="R24" s="150"/>
    </row>
    <row r="25" spans="1:18">
      <c r="A25" s="150"/>
      <c r="B25" s="150"/>
      <c r="C25" s="150"/>
      <c r="D25" s="165"/>
      <c r="E25" s="165"/>
      <c r="F25" s="165"/>
      <c r="G25" s="165"/>
      <c r="H25" s="150"/>
      <c r="I25" s="150"/>
      <c r="J25" s="150"/>
      <c r="K25" s="150"/>
      <c r="M25" s="150"/>
      <c r="N25" s="150"/>
      <c r="O25" s="150"/>
      <c r="P25" s="150"/>
      <c r="Q25" s="150"/>
      <c r="R25" s="150"/>
    </row>
    <row r="26" spans="1:18">
      <c r="A26" s="150"/>
      <c r="B26" s="150"/>
      <c r="C26" s="150"/>
      <c r="D26" s="165"/>
      <c r="E26" s="165"/>
      <c r="F26" s="165"/>
      <c r="G26" s="165"/>
      <c r="H26" s="150"/>
      <c r="I26" s="150"/>
      <c r="J26" s="150"/>
      <c r="K26" s="150"/>
      <c r="M26" s="150"/>
      <c r="N26" s="150"/>
      <c r="O26" s="150"/>
      <c r="P26" s="150"/>
      <c r="Q26" s="150"/>
      <c r="R26" s="150"/>
    </row>
    <row r="27" spans="1:18">
      <c r="A27" s="150"/>
      <c r="B27" s="150"/>
      <c r="C27" s="150"/>
      <c r="D27" s="165"/>
      <c r="E27" s="165"/>
      <c r="F27" s="165"/>
      <c r="G27" s="165"/>
      <c r="H27" s="150"/>
      <c r="I27" s="150"/>
      <c r="J27" s="150"/>
      <c r="K27" s="150"/>
      <c r="M27" s="150"/>
      <c r="N27" s="150"/>
      <c r="O27" s="150"/>
      <c r="P27" s="150"/>
      <c r="Q27" s="150"/>
      <c r="R27" s="150"/>
    </row>
    <row r="28" spans="1:18">
      <c r="A28" s="150"/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M28" s="150"/>
      <c r="N28" s="150"/>
      <c r="O28" s="150"/>
      <c r="P28" s="150"/>
      <c r="Q28" s="150"/>
      <c r="R28" s="150"/>
    </row>
    <row r="29" spans="1:18">
      <c r="A29" s="150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M29" s="150"/>
      <c r="N29" s="150"/>
      <c r="O29" s="150"/>
      <c r="P29" s="150"/>
      <c r="Q29" s="150"/>
      <c r="R29" s="150"/>
    </row>
    <row r="30" spans="1:18">
      <c r="A30" s="150"/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M30" s="150"/>
      <c r="N30" s="150"/>
      <c r="O30" s="150"/>
      <c r="P30" s="150"/>
      <c r="Q30" s="150"/>
      <c r="R30" s="150"/>
    </row>
    <row r="31" spans="1:18">
      <c r="A31" s="150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M31" s="150"/>
      <c r="N31" s="150"/>
      <c r="O31" s="150"/>
      <c r="P31" s="150"/>
      <c r="Q31" s="150"/>
      <c r="R31" s="150"/>
    </row>
    <row r="32" spans="1:18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M32" s="150"/>
      <c r="N32" s="150"/>
      <c r="O32" s="150"/>
      <c r="P32" s="150"/>
      <c r="Q32" s="150"/>
      <c r="R32" s="150"/>
    </row>
    <row r="33" spans="1:18">
      <c r="A33" s="150"/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M33" s="150"/>
      <c r="N33" s="150"/>
      <c r="O33" s="150"/>
      <c r="P33" s="150"/>
      <c r="Q33" s="150"/>
      <c r="R33" s="150"/>
    </row>
    <row r="34" spans="1:18">
      <c r="A34" s="150"/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M34" s="150"/>
      <c r="N34" s="150"/>
      <c r="O34" s="150"/>
      <c r="P34" s="150"/>
      <c r="Q34" s="150"/>
      <c r="R34" s="150"/>
    </row>
    <row r="35" spans="1:18">
      <c r="A35" s="150"/>
      <c r="B35" s="150"/>
      <c r="C35" s="150"/>
      <c r="D35" s="150"/>
      <c r="E35" s="150"/>
      <c r="F35" s="150"/>
      <c r="G35" s="150"/>
      <c r="H35" s="150"/>
      <c r="I35" s="150"/>
      <c r="J35" s="150"/>
      <c r="K35" s="150"/>
      <c r="M35" s="150"/>
      <c r="N35" s="150"/>
      <c r="O35" s="150"/>
      <c r="P35" s="150"/>
      <c r="Q35" s="150"/>
      <c r="R35" s="150"/>
    </row>
  </sheetData>
  <sheetProtection password="F16F" sheet="1" objects="1" scenarios="1"/>
  <mergeCells count="8">
    <mergeCell ref="A15:B16"/>
    <mergeCell ref="J17:K17"/>
    <mergeCell ref="J18:K18"/>
    <mergeCell ref="J19:K19"/>
    <mergeCell ref="J4:K4"/>
    <mergeCell ref="J5:K5"/>
    <mergeCell ref="J7:K7"/>
    <mergeCell ref="J16:K16"/>
  </mergeCells>
  <pageMargins left="0.511811024" right="0.511811024" top="0.78740157499999996" bottom="0.78740157499999996" header="0.31496062000000002" footer="0.31496062000000002"/>
  <pageSetup paperSize="9" orientation="portrait" horizontalDpi="300" verticalDpi="300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7"/>
  <sheetViews>
    <sheetView workbookViewId="0">
      <selection activeCell="W84" sqref="W84"/>
    </sheetView>
  </sheetViews>
  <sheetFormatPr baseColWidth="10" defaultColWidth="8.83203125" defaultRowHeight="12" x14ac:dyDescent="0"/>
  <cols>
    <col min="1" max="21" width="10.6640625" style="8" customWidth="1"/>
    <col min="22" max="22" width="9.33203125" style="8" customWidth="1"/>
    <col min="23" max="23" width="10.6640625" style="8" customWidth="1"/>
    <col min="24" max="24" width="9.33203125" style="8" customWidth="1"/>
    <col min="25" max="16384" width="8.83203125" style="8"/>
  </cols>
  <sheetData>
    <row r="1" spans="1:19">
      <c r="A1" s="7" t="s">
        <v>41</v>
      </c>
      <c r="B1" s="7"/>
      <c r="F1" s="9" t="s">
        <v>58</v>
      </c>
      <c r="G1" s="10"/>
      <c r="H1" s="11">
        <f>'Met. Teoricos'!G1</f>
        <v>1</v>
      </c>
    </row>
    <row r="2" spans="1:19">
      <c r="A2" s="7"/>
      <c r="B2" s="7"/>
    </row>
    <row r="3" spans="1:19">
      <c r="A3" s="12" t="s">
        <v>42</v>
      </c>
      <c r="B3" s="13"/>
      <c r="C3" s="14" t="s">
        <v>57</v>
      </c>
      <c r="D3" s="15" t="s">
        <v>57</v>
      </c>
    </row>
    <row r="4" spans="1:19">
      <c r="A4" s="16" t="s">
        <v>43</v>
      </c>
      <c r="B4" s="17">
        <f>'Met. Teoricos'!B4</f>
        <v>0</v>
      </c>
      <c r="C4" s="17">
        <f>DEGREES(D4)</f>
        <v>0</v>
      </c>
      <c r="D4" s="69">
        <f>ATAN(2/3*TAN(RADIANS(B4)))</f>
        <v>0</v>
      </c>
      <c r="F4" s="9" t="s">
        <v>63</v>
      </c>
      <c r="G4" s="10"/>
      <c r="H4" s="10"/>
      <c r="I4" s="10"/>
      <c r="J4" s="10"/>
      <c r="K4" s="10"/>
      <c r="L4" s="10"/>
      <c r="M4" s="10"/>
      <c r="N4" s="10"/>
    </row>
    <row r="5" spans="1:19">
      <c r="A5" s="16" t="s">
        <v>45</v>
      </c>
      <c r="B5" s="17">
        <f>'Met. Teoricos'!B5</f>
        <v>0</v>
      </c>
      <c r="D5" s="70"/>
      <c r="F5" s="10"/>
      <c r="G5" s="10"/>
      <c r="H5" s="10"/>
      <c r="I5" s="10"/>
      <c r="J5" s="10"/>
      <c r="K5" s="10"/>
      <c r="L5" s="10"/>
      <c r="M5" s="10"/>
      <c r="N5" s="10"/>
    </row>
    <row r="6" spans="1:19" ht="13" thickBot="1">
      <c r="A6" s="16" t="s">
        <v>47</v>
      </c>
      <c r="B6" s="17">
        <f>'Met. Teoricos'!B6</f>
        <v>0</v>
      </c>
      <c r="C6" s="8" t="s">
        <v>48</v>
      </c>
      <c r="F6" s="10" t="s">
        <v>59</v>
      </c>
      <c r="G6" s="10"/>
      <c r="H6" s="225"/>
      <c r="I6" s="225"/>
      <c r="J6" s="225"/>
      <c r="K6" s="225"/>
      <c r="L6" s="225"/>
      <c r="M6" s="225"/>
      <c r="N6" s="225"/>
      <c r="O6" s="225"/>
      <c r="P6" s="225"/>
    </row>
    <row r="7" spans="1:19">
      <c r="A7" s="16" t="s">
        <v>75</v>
      </c>
      <c r="B7" s="118">
        <f>'Met. Teoricos'!B7</f>
        <v>0</v>
      </c>
      <c r="C7" s="8" t="s">
        <v>48</v>
      </c>
      <c r="F7" s="18"/>
      <c r="H7" s="241" t="s">
        <v>65</v>
      </c>
      <c r="I7" s="242"/>
      <c r="J7" s="243"/>
      <c r="K7" s="241" t="s">
        <v>66</v>
      </c>
      <c r="L7" s="242"/>
      <c r="M7" s="243"/>
      <c r="N7" s="241" t="s">
        <v>67</v>
      </c>
      <c r="O7" s="242"/>
      <c r="P7" s="243"/>
      <c r="Q7" s="241" t="s">
        <v>106</v>
      </c>
      <c r="R7" s="242"/>
      <c r="S7" s="243"/>
    </row>
    <row r="8" spans="1:19">
      <c r="A8" s="16" t="s">
        <v>49</v>
      </c>
      <c r="B8" s="118">
        <f>'Met. Teoricos'!B8</f>
        <v>0</v>
      </c>
      <c r="C8" s="8" t="s">
        <v>50</v>
      </c>
      <c r="F8" s="18"/>
      <c r="H8" s="19" t="s">
        <v>60</v>
      </c>
      <c r="I8" s="20" t="s">
        <v>61</v>
      </c>
      <c r="J8" s="21" t="s">
        <v>62</v>
      </c>
      <c r="K8" s="19" t="s">
        <v>60</v>
      </c>
      <c r="L8" s="20" t="s">
        <v>61</v>
      </c>
      <c r="M8" s="21" t="s">
        <v>62</v>
      </c>
      <c r="N8" s="19" t="s">
        <v>60</v>
      </c>
      <c r="O8" s="20" t="s">
        <v>61</v>
      </c>
      <c r="P8" s="21" t="s">
        <v>62</v>
      </c>
      <c r="Q8" s="19" t="s">
        <v>60</v>
      </c>
      <c r="R8" s="20" t="s">
        <v>61</v>
      </c>
      <c r="S8" s="21" t="s">
        <v>62</v>
      </c>
    </row>
    <row r="9" spans="1:19">
      <c r="A9" s="14"/>
      <c r="B9" s="22"/>
      <c r="D9" s="119"/>
      <c r="F9" s="226" t="s">
        <v>14</v>
      </c>
      <c r="G9" s="227"/>
      <c r="H9" s="23">
        <f>B5*C37+(B6*B8+(B7-10)*(B17-B8))*D37+0.5*(B7-10)*B11*E37</f>
        <v>0</v>
      </c>
      <c r="I9" s="24">
        <f>1.3*B5*C37+(B6*B8+(B7-10)*(B17-B8))*D37+0.4*(B7-10)*B11*E37</f>
        <v>0</v>
      </c>
      <c r="J9" s="25">
        <f>1.3*B5*C37+(B6*B8+(B7-10)*(B17-B8))*D37+0.3*(B7-10)*B13*E37</f>
        <v>0</v>
      </c>
      <c r="K9" s="23" t="e">
        <f>B5*C37+B6*B17*D37+0.5*((B7-10)+(B8-B17)/B11*(B6-B7+10))*B11*E37</f>
        <v>#DIV/0!</v>
      </c>
      <c r="L9" s="24" t="e">
        <f>1.3*B5*C37+B6*B17*D37+0.4*((B7-10)+(B8-B17)/B11*(B6-B7+10))*B11*E37</f>
        <v>#DIV/0!</v>
      </c>
      <c r="M9" s="25" t="e">
        <f>1.3*B5*C37+B6*B17*D37+0.4*((B7-10)+(B8-B17)/B13*(B6-B7+10))*B13*E37</f>
        <v>#DIV/0!</v>
      </c>
      <c r="N9" s="23">
        <f>$B$5*$C$37+$B$6*$B$17*$D$37+0.5*$B$6*$B$11*$E$37</f>
        <v>0</v>
      </c>
      <c r="O9" s="24">
        <f>1.3*$B$5*$C$37+$B$6*$B$17*$D$37+0.4*$B$6*$B$11*$E$37</f>
        <v>0</v>
      </c>
      <c r="P9" s="25">
        <f>1.3*$B$5*$C$37+$B$6*$B$17*$D$37+0.3*$B$6*$B$13*$E$37</f>
        <v>0</v>
      </c>
      <c r="Q9" s="23">
        <f>$B$5*$C$37+$B$6*$B$17*$D$37+0.5*($B$7-10)*$B$11*$E$37</f>
        <v>0</v>
      </c>
      <c r="R9" s="24">
        <f>1.3*$B$5*$C$37+$B$6*$B$17*$D$37+0.4*($B$7-10)*$B$11*$E$37</f>
        <v>0</v>
      </c>
      <c r="S9" s="25">
        <f>1.3*$B$5*$C$37+$B$6*$B$17*$D$37+0.3*($B$7-10)*$B$13*$E$37</f>
        <v>0</v>
      </c>
    </row>
    <row r="10" spans="1:19">
      <c r="A10" s="12" t="s">
        <v>51</v>
      </c>
      <c r="B10" s="22"/>
      <c r="F10" s="226" t="s">
        <v>15</v>
      </c>
      <c r="G10" s="227"/>
      <c r="H10" s="23" t="e">
        <f>B5*C38*C47*C56*M56+(B6*B8+(B7-10)*(B17-B8))*D38*D47*D56*N56+0.5*(B7-10)*B11*E38*E47*E56*O56</f>
        <v>#DIV/0!</v>
      </c>
      <c r="I10" s="24" t="e">
        <f>B5*C38*F47*C56*M56+(B6*B8+(B7-10)*(B17-B8))*D38*G47*D56*N56+0.5*(B7-10)*B11*E38*H47*E56*O56</f>
        <v>#DIV/0!</v>
      </c>
      <c r="J10" s="25" t="e">
        <f>B5*C38*I47*C56*M56+(B6*B8+(B7-10)*(B17-B8))*D38*J47*D56*N56+0.5*(B7-10)*B13*E38*K47*E56*O56</f>
        <v>#DIV/0!</v>
      </c>
      <c r="K10" s="23" t="e">
        <f>B5*C38*C47*C56*M56+B6*B17*D38*D47*D56*N56+0.5*((B7-10)+(B8-B17)/B11*(B6-B7+10))*B11*E38*E47*E56*O56</f>
        <v>#DIV/0!</v>
      </c>
      <c r="L10" s="24" t="e">
        <f>B5*C38*F47*C56*M56+B6*B17*D38*G47*D56*N56+0.5*((B7-10)+(B8-B17)/B11*(B6-B7+10))*B11*E38*H47*E56*O56</f>
        <v>#DIV/0!</v>
      </c>
      <c r="M10" s="25" t="e">
        <f>B5*C38*I47*C56*M56+B6*B17*D38*J47*D56*N56+0.5*((B7-10)+(B8-B17)/B13*(B6-B7+10))*B13*E38*K47*E56*O56</f>
        <v>#DIV/0!</v>
      </c>
      <c r="N10" s="23" t="e">
        <f>$B$5*$C$38*$C$47*$C$56*$M$56+$B$6*$B$17*$D$38*$D$47*$D$56*$N$56+0.5*$B$6*$B$11*$E$38*$E$47*$E$56*$O$56</f>
        <v>#DIV/0!</v>
      </c>
      <c r="O10" s="24" t="e">
        <f>$B$5*$C$38*$F$47*$C$56*$M$56+$B$6*$B$17*$D$38*$G$47*$D$56*$N$56+0.5*$B$6*$B$11*$E$38*$H$47*$E$56*$O$56</f>
        <v>#DIV/0!</v>
      </c>
      <c r="P10" s="25" t="e">
        <f>$B$5*$C$38*$I$47*$C$56*$M$56+$B$6*$B$17*$D$38*$J$47*$D$56*$N$56+0.5*$B$6*$B$13*$E$38*$K$47*$E$56*$O$56</f>
        <v>#DIV/0!</v>
      </c>
      <c r="Q10" s="23" t="e">
        <f>$B$5*$C$38*$C$47*$C$56*$M$56+$B$6*$B$17*$D$38*$D$47*$D$56*$N$56+0.5*($B$7-10)*$B$11*$E$38*$E$47*$E$56*$O$56</f>
        <v>#DIV/0!</v>
      </c>
      <c r="R10" s="24" t="e">
        <f>$B$5*$C$38*$F$47*$C$56*$M$56+$B$6*$B$17*$D$38*$G$47*$D$56*$N$56+0.5*($B$7-10)*$B$11*$E$38*$H$47*$E$56*$O$56</f>
        <v>#DIV/0!</v>
      </c>
      <c r="S10" s="25" t="e">
        <f>$B$5*$C$38*$I$47*$C$56*$M$56+$B$6*$B$17*$D$38*$J$47*$D$56*$N$56+0.5*($B$7-10)*$B$13*$E$38*$K$47*$E$56*$O$56</f>
        <v>#DIV/0!</v>
      </c>
    </row>
    <row r="11" spans="1:19">
      <c r="A11" s="16" t="s">
        <v>52</v>
      </c>
      <c r="B11" s="26">
        <f>'Met. Teoricos'!B12</f>
        <v>0</v>
      </c>
      <c r="C11" s="8" t="s">
        <v>50</v>
      </c>
      <c r="F11" s="226" t="s">
        <v>16</v>
      </c>
      <c r="G11" s="227"/>
      <c r="H11" s="23" t="e">
        <f>B5*C39*C48*C57*M57*C66*M66+(B6*B8+(B7-10)*(B17-B8))*D39*D48*D57*N57*D66*N66+0.5*(B7-10)*B11*E39*E48*E57*O57*E66*O66</f>
        <v>#DIV/0!</v>
      </c>
      <c r="I11" s="24" t="e">
        <f>B5*C39*F48*C57*M57*C66*M66+(B6*B8+(B7-10)*(B17-B8))*D39*G48*D57*N57*D66*N66+0.5*(B7-10)*B11*E39*H48*E57*O57*E66*O66</f>
        <v>#DIV/0!</v>
      </c>
      <c r="J11" s="25" t="e">
        <f>B5*C39*I48*C57*M57*C66*M66+(B6*B8+(B7-10)*(B17-B8))*D39*J48*D57*N57*D66*N66+0.5*(B7-10)*B13*E39*K48*E57*O57*E66*O66</f>
        <v>#DIV/0!</v>
      </c>
      <c r="K11" s="23" t="e">
        <f>B5*C39*C48*C57*M57*C66*M66+B6*B17*D39*D48*D57*N57*D66*N66+0.5*((B7-10)+(B8-B17)/B11*(B6-B7+10))*B11*E39*E48*E57*O57*E66*O66</f>
        <v>#DIV/0!</v>
      </c>
      <c r="L11" s="24" t="e">
        <f>B5*C39*F48*C57*M57*C66*M66+B6*B17*D39*G48*D57*N57*D66*N66+0.5*((B7-10)+(B8-B17)/B11*(B6-B7+10))*B11*E39*H48*E57*O57*E66*O66</f>
        <v>#DIV/0!</v>
      </c>
      <c r="M11" s="25" t="e">
        <f>B5*C39*I48*C57*M57*C66*M66+B6*B17*D39*J48*D57*N57*D66*N66+0.5*((B7-10)+(B8-B17)/B15*(B6-B7+10))*B15*E39*K48*E57*O57*E66*O66</f>
        <v>#DIV/0!</v>
      </c>
      <c r="N11" s="23" t="e">
        <f>$B$5*$C$39*$C$48*$C$57*$M$57*$C$66*$M$66+$B$6*$B$17*$D$39*$D$48*$D$57*$N$57*$D$66*$N$66+0.5*$B$6*$B$11*$E$39*$E$48*$E$57*$O$57*$E$66*$O$66</f>
        <v>#DIV/0!</v>
      </c>
      <c r="O11" s="24" t="e">
        <f>$B$5*$C$39*$F$48*$C$57*$M$57*$C$66*$M$66+$B$6*$B$17*$D$39*$G$48*$D$57*$N$57*$D$66*$N$66+0.5*$B$6*$B$11*$E$39*$H$48*$E$57*$O$57*$E$66*$O$66</f>
        <v>#DIV/0!</v>
      </c>
      <c r="P11" s="25" t="e">
        <f>$B$5*$C$39*$I$48*$C$57*$M$57*$C$66*$M$66+$B$6*$B$17*$D$39*$J$48*$D$57*$N$57*$D$66*$N$66+0.5*$B$6*$B$13*$E$39*$K$48*$E$57*$O$57*$E$66*$O$66</f>
        <v>#DIV/0!</v>
      </c>
      <c r="Q11" s="23" t="e">
        <f>$B$5*$C$39*$C$48*$C$57*$M$57*$C$66*$M$66+$B$6*$B$17*$D$39*$D$48*$D$57*$N$57*$D$66*$N$66+0.5*($B$7-10)*$B$11*$E$39*$E$48*$E$57*$O$57*$E$66*$O$66</f>
        <v>#DIV/0!</v>
      </c>
      <c r="R11" s="24" t="e">
        <f>$B$5*$C$39*$F$48*$C$57*$M$57*$C$66*$M$66+$B$6*$B$17*$D$39*$G$48*$D$57*$N$57*$D$66*$N$66+0.5*($B$7-10)*$B$11*$E$39*$H$48*$E$57*$O$57*$E$66*$O$66</f>
        <v>#DIV/0!</v>
      </c>
      <c r="S11" s="25" t="e">
        <f>$B$5*$C$39*$I$48*$C$57*$M$57*$C$66*$M$66+$B$6*$B$17*$D$39*$J$48*$D$57*$N$57*$D$66*$N$66+0.5*($B$7-10)*$B$13*$E$39*$K$48*$E$57*$O$57*$E$66*$O$66</f>
        <v>#DIV/0!</v>
      </c>
    </row>
    <row r="12" spans="1:19" ht="13" thickBot="1">
      <c r="A12" s="16" t="s">
        <v>53</v>
      </c>
      <c r="B12" s="26">
        <f>'Met. Teoricos'!B13</f>
        <v>0</v>
      </c>
      <c r="C12" s="8" t="s">
        <v>50</v>
      </c>
      <c r="F12" s="226" t="s">
        <v>17</v>
      </c>
      <c r="G12" s="227"/>
      <c r="H12" s="27" t="e">
        <f>B5*C40*C49*C58*M58*C67*M67+(B6*B8+(B7-10)*(B17-B8))*D40*D49*D58*N58*D67*N67+0.5*(B7-10)*B11*E40*E49*E58*O58*E67*O67</f>
        <v>#DIV/0!</v>
      </c>
      <c r="I12" s="28" t="e">
        <f>B5*C40*F49*C58*M58*C67*M67+(B6*B8+(B7-10)*(B17-B8))*D40*G49*D58*N58*D67*N67+0.5*(B7-10)*B11*E40*H49*E58*O58*E67*O67</f>
        <v>#DIV/0!</v>
      </c>
      <c r="J12" s="29" t="e">
        <f>B5*C40*I49*C58*M58*C67*M67+(B6*B8+(B7-10)*(B17-B8))*D40*J49*D58*N58*D67*N67+0.5*(B7-10)*B13*E40*K49*E58*O58*E67*O67</f>
        <v>#DIV/0!</v>
      </c>
      <c r="K12" s="27" t="e">
        <f>B5*C40*C49*C58*M58*C67*M67+B6*B17*D40*D49*D58*N58*D67*N67+0.5*((B7-10)+(B8-B17)/B11*(B6-B7+10))*B11*E40*E49*E58*O58*E67*O67</f>
        <v>#DIV/0!</v>
      </c>
      <c r="L12" s="28" t="e">
        <f>B5*C40*F49*C58*M58*C67*M67+B6*B17*D40*G49*D58*N58*D67*N67+0.5*((B7-10)+(B8-B17)/B11*(B6-B7+10))*B11*E40*H49*E58*O58*E67*O67</f>
        <v>#DIV/0!</v>
      </c>
      <c r="M12" s="29" t="e">
        <f>B5*C40*I49*C58*M58*C67*M67+B6*B17*D40*J49*D58*N58*D67*N67+0.5*((B7-10)+(B8-B17)/B13*(B6-B7+10))*B13*E40*K49*E58*O58*E67*O67</f>
        <v>#DIV/0!</v>
      </c>
      <c r="N12" s="27" t="e">
        <f>$B$5*$C$40*$C$49*$C$58*$M$58*$C$67*$M$67+$B$6*$B$17*$D$40*$D$49*$D$58*$N$58*$D$67*$N$67+0.5*$B$6*$B$11*$E$40*$E$49*$E$58*$O$58*$E$67*$O$67</f>
        <v>#DIV/0!</v>
      </c>
      <c r="O12" s="28" t="e">
        <f>$B$5*$C$40*$F$49*$C$58*$M$58*$C$67*$M$67+$B$6*$B$17*$D$40*$G$49*$D$58*$N$58*$D$67*$N$67+0.5*$B$6*$B$11*$E$40*$H$49*$E$58*$O$58*$E$67*$O$67</f>
        <v>#DIV/0!</v>
      </c>
      <c r="P12" s="29" t="e">
        <f>$B$5*$C$40*$I$49*$C$58*$M$58*$C$67*$M$67+$B$6*$B$17*$D$40*$J$49*$D$58*$N$58*$D$67*$N$67+0.5*$B$6*$B$13*$E$40*$K$49*$E$58*$O$58*$E$67*$O$67</f>
        <v>#DIV/0!</v>
      </c>
      <c r="Q12" s="27" t="e">
        <f>$B$5*$C$40*$C$49*$C$58*$M$58*$C$67*$M$67+$B$6*$B$17*$D$40*$D$49*$D$58*$N$58*$D$67*$N$67+0.5*($B$7-10)*$B$11*$E$40*$E$49*$E$58*$O$58*$E$67*$O$67</f>
        <v>#DIV/0!</v>
      </c>
      <c r="R12" s="28" t="e">
        <f>$B$5*$C$40*$F$49*$C$58*$M$58*$C$67*$M$67+$B$6*$B$17*$D$40*$G$49*$D$58*$N$58*$D$67*$N$67+0.5*($B$7-10)*$B$11*$E$40*$H$49*$E$58*$O$58*$E$67*$O$67</f>
        <v>#DIV/0!</v>
      </c>
      <c r="S12" s="29" t="e">
        <f>$B$5*$C$40*$I$49*$C$58*$M$58*$C$67*$M$67+$B$6*$B$17*$D$40*$J$49*$D$58*$N$58*$D$67*$N$67+0.5*($B$7-10)*$B$13*$E$40*$K$49*$E$58*$O$58*$E$67*$O$67</f>
        <v>#DIV/0!</v>
      </c>
    </row>
    <row r="13" spans="1:19">
      <c r="A13" s="16" t="s">
        <v>54</v>
      </c>
      <c r="B13" s="26">
        <f>'Met. Teoricos'!B14</f>
        <v>0</v>
      </c>
      <c r="C13" s="8" t="s">
        <v>50</v>
      </c>
      <c r="F13" s="30"/>
      <c r="G13" s="30"/>
      <c r="H13" s="31"/>
      <c r="I13" s="31"/>
      <c r="J13" s="31"/>
      <c r="K13" s="31"/>
      <c r="L13" s="31"/>
      <c r="M13" s="31"/>
      <c r="N13" s="31"/>
      <c r="O13" s="31"/>
      <c r="P13" s="31"/>
    </row>
    <row r="14" spans="1:19" ht="13" thickBot="1">
      <c r="A14" s="232" t="str">
        <f>IF(AND(B11=B12,B11&gt;0,B12&gt;0),"Q",(IF(AND(B11&lt;&gt;B12,B13=0),"R",(IF(AND(B13&lt;&gt;0,B11=0,B12=0),"C","VERIFICAR DIMENSÕES")))))</f>
        <v>VERIFICAR DIMENSÕES</v>
      </c>
      <c r="B14" s="232"/>
      <c r="F14" s="10" t="s">
        <v>68</v>
      </c>
      <c r="H14" s="10"/>
      <c r="I14" s="10"/>
      <c r="J14" s="10"/>
    </row>
    <row r="15" spans="1:19">
      <c r="A15" s="14" t="s">
        <v>105</v>
      </c>
      <c r="B15" s="22">
        <f>IF(B13&lt;&gt;0,B13,B11)</f>
        <v>0</v>
      </c>
      <c r="F15" s="18"/>
      <c r="H15" s="241" t="s">
        <v>65</v>
      </c>
      <c r="I15" s="242"/>
      <c r="J15" s="243"/>
      <c r="K15" s="241" t="s">
        <v>66</v>
      </c>
      <c r="L15" s="242"/>
      <c r="M15" s="243"/>
      <c r="N15" s="241" t="s">
        <v>67</v>
      </c>
      <c r="O15" s="242"/>
      <c r="P15" s="243"/>
      <c r="Q15" s="241" t="s">
        <v>106</v>
      </c>
      <c r="R15" s="242"/>
      <c r="S15" s="243"/>
    </row>
    <row r="16" spans="1:19">
      <c r="A16" s="12" t="s">
        <v>55</v>
      </c>
      <c r="B16" s="32"/>
      <c r="F16" s="18"/>
      <c r="H16" s="19" t="s">
        <v>60</v>
      </c>
      <c r="I16" s="20" t="s">
        <v>61</v>
      </c>
      <c r="J16" s="21" t="s">
        <v>62</v>
      </c>
      <c r="K16" s="19" t="s">
        <v>60</v>
      </c>
      <c r="L16" s="20" t="s">
        <v>61</v>
      </c>
      <c r="M16" s="21" t="s">
        <v>62</v>
      </c>
      <c r="N16" s="19" t="s">
        <v>60</v>
      </c>
      <c r="O16" s="20" t="s">
        <v>61</v>
      </c>
      <c r="P16" s="21" t="s">
        <v>62</v>
      </c>
      <c r="Q16" s="19" t="s">
        <v>60</v>
      </c>
      <c r="R16" s="20" t="s">
        <v>61</v>
      </c>
      <c r="S16" s="21" t="s">
        <v>62</v>
      </c>
    </row>
    <row r="17" spans="1:19">
      <c r="A17" s="16" t="s">
        <v>56</v>
      </c>
      <c r="B17" s="109">
        <f>'Met. Teoricos'!B11</f>
        <v>0</v>
      </c>
      <c r="C17" s="8" t="s">
        <v>50</v>
      </c>
      <c r="F17" s="226" t="s">
        <v>14</v>
      </c>
      <c r="G17" s="227"/>
      <c r="H17" s="33">
        <f>2/3*B5*F37+(B6*B8+(B7-10)*(B17-B8))*G37+0.5*(B7-10)*B11*H37</f>
        <v>0</v>
      </c>
      <c r="I17" s="34">
        <f>1.3*2/3*B5*F37+(B6*B8+(B7-10)*(B17-B8))*G37+0.4*(B7-10)*B11*H37</f>
        <v>0</v>
      </c>
      <c r="J17" s="35">
        <f>1.3*2/3*B5*F37+(B6*B8+(B7-10)*(B17-B8))*G37+0.3*(B7-10)*B13*H37</f>
        <v>0</v>
      </c>
      <c r="K17" s="33" t="e">
        <f>2/3*B5*F37+B6*B17*G37+0.5*((B7-10)+(B8-B17)/B11*(B6-B7+10))*B11*H37</f>
        <v>#DIV/0!</v>
      </c>
      <c r="L17" s="34" t="e">
        <f>1.3*2/3*B5*F37+B6*B17*G37+0.4*((B7-10)+(B8-B17)/B11*(B6-B7+10))*B11*H37</f>
        <v>#DIV/0!</v>
      </c>
      <c r="M17" s="35" t="e">
        <f>1.3*2/3*B5*F37+B6*B17*G37+0.3*((B7-10)+(B8-B17)/B13*(B6-B7+10))*B13*H37</f>
        <v>#DIV/0!</v>
      </c>
      <c r="N17" s="36">
        <f>2/3*$B$5*$F$37+$B$6*$B$17*$G$37+0.5*$B$6*$B$11*$H$37</f>
        <v>0</v>
      </c>
      <c r="O17" s="34">
        <f>1.3*2/3*$B$5*$F$37+$B$6*$B$17*$G$37+0.4*$B$6*$B$11*$H$37</f>
        <v>0</v>
      </c>
      <c r="P17" s="35">
        <f>1.3*2/3*$B$5*$F$37+$B$6*$B$17*$G$37+0.3*$B$6*$B$13*$H$37</f>
        <v>0</v>
      </c>
      <c r="Q17" s="36">
        <f>2/3*$B$5*$F$37+$B$6*$B$17*$G$37+0.5*($B$7-10)*$B$11*$H$37</f>
        <v>0</v>
      </c>
      <c r="R17" s="34">
        <f>1.3*2/3*$B$5*$F$37+$B$6*$B$17*$G$37+0.4*($B$7-10)*$B$11*$H$37</f>
        <v>0</v>
      </c>
      <c r="S17" s="35">
        <f>1.3*2/3*$B$5*$F$37+$B$6*$B$17*$G$37+0.3*($B$7-10)*$B$13*$H$37</f>
        <v>0</v>
      </c>
    </row>
    <row r="18" spans="1:19">
      <c r="A18" s="31"/>
      <c r="B18" s="31"/>
      <c r="C18" s="40"/>
      <c r="F18" s="226" t="s">
        <v>15</v>
      </c>
      <c r="G18" s="227"/>
      <c r="H18" s="33" t="e">
        <f>2/3*B5*F38*L47*F56*P56+(B6*B8+(B7-10)*(B17-B8))*G38*M47*G56*Q56+0.5*(B7-10)*B13*H38*N47*H56*R56</f>
        <v>#DIV/0!</v>
      </c>
      <c r="I18" s="34" t="e">
        <f>2/3*B5*F38*O47*F56*P56+(B6*B8+(B7-10)*(B17-B8))*G38*P47*G56*Q56+0.5*(B7-10)*B11*H38*Q47*H56*R56</f>
        <v>#DIV/0!</v>
      </c>
      <c r="J18" s="35" t="e">
        <f>2/3*B5*F38*R47*F56*P56+(B6*B8+(B7-10)*(B17-B8))*G38*S47*G56*Q56+0.5*(B7-10)*B13*H38*T47*H56*R56</f>
        <v>#DIV/0!</v>
      </c>
      <c r="K18" s="33" t="e">
        <f>2/3*B5*F38*L47*F56*P56+B6*B17*G38*M47*G56*Q56+0.5*((B7-10)+(B8-B17)/B11*(B6-B7+10))*B11*H38*N47*H56*R56</f>
        <v>#DIV/0!</v>
      </c>
      <c r="L18" s="34" t="e">
        <f>2/3*B5*F38*O47*F56*P56+B6*B17*G38*P47*G56*Q56+0.5*((B7-10)+(B8-B17)/B11*(B6-B7+10))*B11*H38*Q47*H56*R56</f>
        <v>#DIV/0!</v>
      </c>
      <c r="M18" s="35" t="e">
        <f>2/3*B5*F38*R47*F56*P56+B6*B17*G38*S47*G56*Q56+0.5*((B7-10)+(B8-B17)/B13*(B6-B7+10))*B13*H38*T47*H56*R56</f>
        <v>#DIV/0!</v>
      </c>
      <c r="N18" s="33" t="e">
        <f>2/3*$B$5*$F$38*$L$47*$F$56*$P$56+$B$6*$B$17*$G$38*$M$47*$G$56*$Q$56+0.5*$B$6*$B$11*$H$38*$N$47*$H$56*$R$56</f>
        <v>#DIV/0!</v>
      </c>
      <c r="O18" s="34" t="e">
        <f>2/3*$B$5*$F$38*$O$47*$F$56*$P$56+$B$6*$B$17*$G$38*$P$47*$G$56*$Q$56+0.5*$B$6*$B$11*$H$38*$Q$47*$H$56*$R$56</f>
        <v>#DIV/0!</v>
      </c>
      <c r="P18" s="35" t="e">
        <f>2/3*$B$5*$F$38*$R$47*$F$56*$P$56+$B$6*$B$17*$G$38*$S$47*$G$56*$Q$56+0.5*$B$6*$B$13*$H$38*$T$47*$H$56*$R$56</f>
        <v>#DIV/0!</v>
      </c>
      <c r="Q18" s="33" t="e">
        <f>2/3*$B$5*$F$38*$L$47*$F$56*$P$56+$B$6*$B$17*$G$38*$M$47*$G$56*$Q$56+0.5*($B$7-10)*$B$11*$H$38*$N$47*$H$56*$R$56</f>
        <v>#DIV/0!</v>
      </c>
      <c r="R18" s="34" t="e">
        <f>2/3*$B$5*$F$38*$O$47*$F$56*$P$56+$B$6*$B$17*$G$38*$P$47*$G$56*$Q$56+0.5*($B$7-10)*$B$11*$H$38*$Q$47*$H$56*$R$56</f>
        <v>#DIV/0!</v>
      </c>
      <c r="S18" s="35" t="e">
        <f>2/3*$B$5*$F$38*$R$47*$F$56*$P$56+$B$6*$B$17*$G$38*$S$47*$G$56*$Q$56+0.5*($B$7-10)*$B$13*$H$38*$T$47*$H$56*$R$56</f>
        <v>#DIV/0!</v>
      </c>
    </row>
    <row r="19" spans="1:19">
      <c r="A19" s="31"/>
      <c r="B19" s="31"/>
      <c r="C19" s="40"/>
      <c r="F19" s="226" t="s">
        <v>16</v>
      </c>
      <c r="G19" s="227"/>
      <c r="H19" s="33" t="e">
        <f>B5*F39*L48*F57*P57*F66*P66+(B6*B8+(B7-10)*(B17-B8))*G39*M48*G57*Q57*G66*Q66+0.5*(B7-10)*B11*H39*N48*H57*R57*H66*R66</f>
        <v>#DIV/0!</v>
      </c>
      <c r="I19" s="34" t="e">
        <f>B5*F39*O48*F57*P57*F66*P66+(B6*B8+(B7-10)*(B17-B8))*G39*P48*G57*Q57*G66*Q66+0.5*(B7-10)*B11*H39*Q48*H57*R57*H66*R66</f>
        <v>#DIV/0!</v>
      </c>
      <c r="J19" s="35" t="e">
        <f>B5*F39*R48*F57*P57*F66*P66+(B6*B8+(B7-10)*(B17-B8))*G39*S48*G57*Q57*G66*Q66+0.5*(B7-10)*B13*H39*T48*H57*R57*H66*R66</f>
        <v>#DIV/0!</v>
      </c>
      <c r="K19" s="33" t="e">
        <f>2/3*B5*F39*L48*F57*P57*F66*P66+B6*B17*G39*M48*G57*Q57*G66*Q66+0.5*((B7-10)+(B8-B17)/B11*(B6-B7+10))*B11*H39*N48*H57*R57*H66*R66</f>
        <v>#DIV/0!</v>
      </c>
      <c r="L19" s="34" t="e">
        <f>2/3*B5*F39*O48*F57*P57*F66*P66+B6*B17*G39*P48*G57*Q57*G66*Q66+0.5*((B7-10)+(B8-B17)/B11*(B6-B7+10))*B11*H39*Q48*H57*R57*H66*R66</f>
        <v>#DIV/0!</v>
      </c>
      <c r="M19" s="35" t="e">
        <f>2/3*B5*F39*R48*F57*P57*F66*P66+B6*B17*G39*S48*G57*Q57*G66*Q66+0.5*((B7-10)+(B8-B17)/B13*(B6-B7+10))*B13*H39*T48*H57*R57*H66*R66</f>
        <v>#DIV/0!</v>
      </c>
      <c r="N19" s="33" t="e">
        <f>2/3*$B$5*$F$39*$L$48*$F$57*$P$57*$F$66*$P$66+$B$6*$B$17*$G$39*$M$48*$G$57*$Q$57*$G$66*$Q$66+0.5*$B$6*$B$11*$H$39*$N$48*$H$57*$R$57*$H$66*$R$66</f>
        <v>#DIV/0!</v>
      </c>
      <c r="O19" s="34" t="e">
        <f>2/3*$B$5*$F$39*$O$48*$F$57*$P$57*$F$66*$P$66+$B$6*$B$17*$G$39*$P$48*$G$57*$Q$57*$G$66*$Q$66+0.5*$B$6*$B$11*$H$39*$Q$48*$H$57*$R$57*$H$66*$R$66</f>
        <v>#DIV/0!</v>
      </c>
      <c r="P19" s="35" t="e">
        <f>2/3*$B$5*$F$39*$R$48*$F$57*$P$57*$F$66*$P$66+$B$6*$B$17*$G$39*$S$48*$G$57*$Q$57*$G$66*$Q$66+0.5*$B$6*$B$13*$H$39*$T$48*$H$57*$R$57*$H$66*$R$66</f>
        <v>#DIV/0!</v>
      </c>
      <c r="Q19" s="33" t="e">
        <f>2/3*$B$5*$F$39*$L$48*$F$57*$P$57*$F$66*$P$66+$B$6*$B$17*$G$39*$M$48*$G$57*$Q$57*$G$66*$Q$66+0.5*($B$7-10)*$B$11*$H$39*$N$48*$H$57*$R$57*$H$66*$R$66</f>
        <v>#DIV/0!</v>
      </c>
      <c r="R19" s="34" t="e">
        <f>2/3*$B$5*$F$39*$O$48*$F$57*$P$57*$F$66*$P$66+$B$6*$B$17*$G$39*$P$48*$G$57*$Q$57*$G$66*$Q$66+0.5*($B$7-10)*$B$11*$H$39*$Q$48*$H$57*$R$57*$H$66*$R$66</f>
        <v>#DIV/0!</v>
      </c>
      <c r="S19" s="35" t="e">
        <f>2/3*$B$5*$F$39*$R$48*$F$57*$P$57*$F$66*$P$66+$B$6*$B$17*$G$39*$S$48*$G$57*$Q$57*$G$66*$Q$66+0.5*($B$7-10)*$B$13*$H$39*$T$48*$H$57*$R$57*$H$66*$R$66</f>
        <v>#DIV/0!</v>
      </c>
    </row>
    <row r="20" spans="1:19" ht="13" thickBot="1">
      <c r="A20" s="31"/>
      <c r="B20" s="31"/>
      <c r="C20" s="40"/>
      <c r="F20" s="226" t="s">
        <v>17</v>
      </c>
      <c r="G20" s="227"/>
      <c r="H20" s="37" t="e">
        <f>B5*F40*L49*F58*P58*F67*P67+(B6*B8+(B7-10)*(B17-B8))*G40*M49*G58*Q58*G67*Q67+0.5*(B7-10)*B11*H40*N49*H58*R58*H67*R67</f>
        <v>#DIV/0!</v>
      </c>
      <c r="I20" s="38" t="e">
        <f>B5*F40*O49*F58*P58*F67*P67+(B6*B8+(B7-10)*(B17-B8))*G40*P49*G58*Q58*G67*Q67+0.5*(B7-10)*B11*H40*Q49*H58*R58*H67*R67</f>
        <v>#DIV/0!</v>
      </c>
      <c r="J20" s="39" t="e">
        <f>B5*F40*R49*F58*P58*F67*P67+(B6*B8+(B7-10)*(B17-B8))*G40*S49*G58*Q58*G67*Q67+0.5*(B7-10)*B13*H40*T49*H58*R58*H67*R67</f>
        <v>#DIV/0!</v>
      </c>
      <c r="K20" s="37" t="e">
        <f>2/3*B5*F40*L49*F58*P58*F67*P67+B6*B17*G40*M49*G58*Q58*G67*Q67+0.5*((B7-10)+(B8-B17)/B11*(B6-B7+10))*B11*H40*N49*H58*R58*H67*R67</f>
        <v>#DIV/0!</v>
      </c>
      <c r="L20" s="38" t="e">
        <f>2/3*B5*F40*O49*F58*P58*F67*P67+B6*B17*G40*P49*G58*Q58*G67*Q67+0.5*((B7-10)+(B8-B17)/B11*(B6-B7+10))*B11*H40*Q49*H58*R58*H67*R67</f>
        <v>#DIV/0!</v>
      </c>
      <c r="M20" s="39" t="e">
        <f>2/3*B5*F40*R49*F58*P58*F67*P67+B6*B17*G40*S49*G58*Q58*G67*Q67+0.5*((B7-10)+(B8-B17)/B13*(B6-B7+10))*B13*H40*T49*H58*R58*H67*R67</f>
        <v>#DIV/0!</v>
      </c>
      <c r="N20" s="37" t="e">
        <f>2/3*$B$5*$F$40*$L$49*$F$58*$P$58*$F$67*$P$67+$B$6*$B$17*$G$40*$M$49*$G$58*$Q$58*$G$67*$Q$67+0.5*$B$6*$B$11*$H$40*$N$49*$H$58*$R$58*$H$67*$R$67</f>
        <v>#DIV/0!</v>
      </c>
      <c r="O20" s="38" t="e">
        <f>2/3*$B$5*$F$40*$O$49*$F$58*$P$58*$F$67*$P$67+$B$6*$B$17*$G$40*$P$49*$G$58*$Q$58*$G$67*$Q$67+0.5*$B$6*$B$11*$H$40*$Q$49*$H$58*$R$58*$H$67*$R$67</f>
        <v>#DIV/0!</v>
      </c>
      <c r="P20" s="39" t="e">
        <f>2/3*$B$5*$F$40*$R$49*$F$58*$P$58*$F$67*$P$67+$B$6*$B$17*$G$40*$S$49*$G$58*$Q$58*$G$67*$Q$67+0.5*$B$6*$B$13*$H$40*$T$49*$H$58*$R$58*$H$67*$R$67</f>
        <v>#DIV/0!</v>
      </c>
      <c r="Q20" s="37" t="e">
        <f>2/3*$B$5*$F$40*$L$49*$F$58*$P$58*$F$67*$P$67+$B$6*$B$17*$G$40*$M$49*$G$58*$Q$58*$G$67*$Q$67+0.5*($B$7-10)*$B$11*$H$40*$N$49*$H$58*$R$58*$H$67*$R$67</f>
        <v>#DIV/0!</v>
      </c>
      <c r="R20" s="38" t="e">
        <f>2/3*$B$5*$F$40*$O$49*$F$58*$P$58*$F$67*$P$67+$B$6*$B$17*$G$40*$P$49*$G$58*$Q$58*$G$67*$Q$67+0.5*($B$7-10)*$B$11*$H$40*$Q$49*$H$58*$R$58*$H$67*$R$67</f>
        <v>#DIV/0!</v>
      </c>
      <c r="S20" s="39" t="e">
        <f>2/3*$B$5*$F$40*$R$49*$F$58*$P$58*$F$67*$P$67+$B$6*$B$17*$G$40*$S$49*$G$58*$Q$58*$G$67*$Q$67+0.5*($B$7-10)*$B$13*$H$40*$T$49*$H$58*$R$58*$H$67*$R$67</f>
        <v>#DIV/0!</v>
      </c>
    </row>
    <row r="21" spans="1:19">
      <c r="A21" s="30" t="s">
        <v>94</v>
      </c>
      <c r="B21" s="31"/>
      <c r="C21" s="40"/>
      <c r="F21" s="41"/>
      <c r="G21" s="41"/>
      <c r="H21" s="31"/>
      <c r="I21" s="31"/>
      <c r="J21" s="31"/>
      <c r="L21" s="42"/>
      <c r="M21" s="40"/>
      <c r="N21" s="43"/>
      <c r="O21" s="43"/>
      <c r="P21" s="43"/>
    </row>
    <row r="22" spans="1:19" ht="13" thickBot="1">
      <c r="A22" s="31">
        <f>'Prova de Carga'!$O$1</f>
        <v>0</v>
      </c>
      <c r="B22" s="31"/>
      <c r="C22" s="40"/>
      <c r="F22" s="10" t="s">
        <v>69</v>
      </c>
      <c r="H22" s="10"/>
      <c r="I22" s="10"/>
      <c r="J22" s="10"/>
    </row>
    <row r="23" spans="1:19">
      <c r="A23" s="31">
        <f>'Prova de Carga'!$O$1</f>
        <v>0</v>
      </c>
      <c r="B23" s="31"/>
      <c r="C23" s="40"/>
      <c r="F23" s="18"/>
      <c r="H23" s="241" t="s">
        <v>65</v>
      </c>
      <c r="I23" s="242"/>
      <c r="J23" s="243"/>
      <c r="K23" s="241" t="s">
        <v>66</v>
      </c>
      <c r="L23" s="242"/>
      <c r="M23" s="243"/>
      <c r="N23" s="241" t="s">
        <v>67</v>
      </c>
      <c r="O23" s="242"/>
      <c r="P23" s="243"/>
      <c r="Q23" s="241" t="s">
        <v>106</v>
      </c>
      <c r="R23" s="242"/>
      <c r="S23" s="243"/>
    </row>
    <row r="24" spans="1:19">
      <c r="A24" s="31">
        <f>'Prova de Carga'!$O$1</f>
        <v>0</v>
      </c>
      <c r="B24" s="31"/>
      <c r="C24" s="40"/>
      <c r="F24" s="18"/>
      <c r="H24" s="19" t="s">
        <v>60</v>
      </c>
      <c r="I24" s="20" t="s">
        <v>61</v>
      </c>
      <c r="J24" s="21" t="s">
        <v>62</v>
      </c>
      <c r="K24" s="19" t="s">
        <v>60</v>
      </c>
      <c r="L24" s="20" t="s">
        <v>61</v>
      </c>
      <c r="M24" s="21" t="s">
        <v>62</v>
      </c>
      <c r="N24" s="19" t="s">
        <v>60</v>
      </c>
      <c r="O24" s="20" t="s">
        <v>61</v>
      </c>
      <c r="P24" s="21" t="s">
        <v>62</v>
      </c>
      <c r="Q24" s="19" t="s">
        <v>60</v>
      </c>
      <c r="R24" s="20" t="s">
        <v>61</v>
      </c>
      <c r="S24" s="21" t="s">
        <v>62</v>
      </c>
    </row>
    <row r="25" spans="1:19">
      <c r="A25" s="31">
        <f>'Prova de Carga'!$O$1</f>
        <v>0</v>
      </c>
      <c r="F25" s="226" t="s">
        <v>14</v>
      </c>
      <c r="G25" s="227"/>
      <c r="H25" s="23">
        <f>AVERAGE(H9,H17)</f>
        <v>0</v>
      </c>
      <c r="I25" s="24">
        <f t="shared" ref="I25:P25" si="0">AVERAGE(I9,I17)</f>
        <v>0</v>
      </c>
      <c r="J25" s="25">
        <f t="shared" si="0"/>
        <v>0</v>
      </c>
      <c r="K25" s="23" t="e">
        <f t="shared" si="0"/>
        <v>#DIV/0!</v>
      </c>
      <c r="L25" s="24" t="e">
        <f t="shared" si="0"/>
        <v>#DIV/0!</v>
      </c>
      <c r="M25" s="25" t="e">
        <f t="shared" si="0"/>
        <v>#DIV/0!</v>
      </c>
      <c r="N25" s="23">
        <f t="shared" si="0"/>
        <v>0</v>
      </c>
      <c r="O25" s="24">
        <f t="shared" si="0"/>
        <v>0</v>
      </c>
      <c r="P25" s="25">
        <f t="shared" si="0"/>
        <v>0</v>
      </c>
      <c r="Q25" s="23">
        <f t="shared" ref="Q25:S25" si="1">AVERAGE(Q9,Q17)</f>
        <v>0</v>
      </c>
      <c r="R25" s="24">
        <f t="shared" si="1"/>
        <v>0</v>
      </c>
      <c r="S25" s="25">
        <f t="shared" si="1"/>
        <v>0</v>
      </c>
    </row>
    <row r="26" spans="1:19">
      <c r="F26" s="226" t="s">
        <v>15</v>
      </c>
      <c r="G26" s="227"/>
      <c r="H26" s="23" t="e">
        <f t="shared" ref="H26:P26" si="2">AVERAGE(H10,H18)</f>
        <v>#DIV/0!</v>
      </c>
      <c r="I26" s="24" t="e">
        <f t="shared" si="2"/>
        <v>#DIV/0!</v>
      </c>
      <c r="J26" s="25" t="e">
        <f t="shared" si="2"/>
        <v>#DIV/0!</v>
      </c>
      <c r="K26" s="23" t="e">
        <f t="shared" si="2"/>
        <v>#DIV/0!</v>
      </c>
      <c r="L26" s="24" t="e">
        <f t="shared" si="2"/>
        <v>#DIV/0!</v>
      </c>
      <c r="M26" s="25" t="e">
        <f t="shared" si="2"/>
        <v>#DIV/0!</v>
      </c>
      <c r="N26" s="23" t="e">
        <f t="shared" si="2"/>
        <v>#DIV/0!</v>
      </c>
      <c r="O26" s="24" t="e">
        <f t="shared" si="2"/>
        <v>#DIV/0!</v>
      </c>
      <c r="P26" s="25" t="e">
        <f t="shared" si="2"/>
        <v>#DIV/0!</v>
      </c>
      <c r="Q26" s="23" t="e">
        <f t="shared" ref="Q26:S26" si="3">AVERAGE(Q10,Q18)</f>
        <v>#DIV/0!</v>
      </c>
      <c r="R26" s="24" t="e">
        <f t="shared" si="3"/>
        <v>#DIV/0!</v>
      </c>
      <c r="S26" s="25" t="e">
        <f t="shared" si="3"/>
        <v>#DIV/0!</v>
      </c>
    </row>
    <row r="27" spans="1:19">
      <c r="F27" s="226" t="s">
        <v>16</v>
      </c>
      <c r="G27" s="227"/>
      <c r="H27" s="23" t="e">
        <f t="shared" ref="H27:P27" si="4">AVERAGE(H11,H19)</f>
        <v>#DIV/0!</v>
      </c>
      <c r="I27" s="24" t="e">
        <f t="shared" si="4"/>
        <v>#DIV/0!</v>
      </c>
      <c r="J27" s="25" t="e">
        <f t="shared" si="4"/>
        <v>#DIV/0!</v>
      </c>
      <c r="K27" s="23" t="e">
        <f t="shared" si="4"/>
        <v>#DIV/0!</v>
      </c>
      <c r="L27" s="24" t="e">
        <f t="shared" si="4"/>
        <v>#DIV/0!</v>
      </c>
      <c r="M27" s="25" t="e">
        <f t="shared" si="4"/>
        <v>#DIV/0!</v>
      </c>
      <c r="N27" s="23" t="e">
        <f t="shared" si="4"/>
        <v>#DIV/0!</v>
      </c>
      <c r="O27" s="24" t="e">
        <f t="shared" si="4"/>
        <v>#DIV/0!</v>
      </c>
      <c r="P27" s="25" t="e">
        <f t="shared" si="4"/>
        <v>#DIV/0!</v>
      </c>
      <c r="Q27" s="23" t="e">
        <f t="shared" ref="Q27:S27" si="5">AVERAGE(Q11,Q19)</f>
        <v>#DIV/0!</v>
      </c>
      <c r="R27" s="24" t="e">
        <f t="shared" si="5"/>
        <v>#DIV/0!</v>
      </c>
      <c r="S27" s="25" t="e">
        <f t="shared" si="5"/>
        <v>#DIV/0!</v>
      </c>
    </row>
    <row r="28" spans="1:19" ht="13" thickBot="1">
      <c r="F28" s="226" t="s">
        <v>17</v>
      </c>
      <c r="G28" s="227"/>
      <c r="H28" s="27" t="e">
        <f t="shared" ref="H28:P28" si="6">AVERAGE(H12,H20)</f>
        <v>#DIV/0!</v>
      </c>
      <c r="I28" s="28" t="e">
        <f t="shared" si="6"/>
        <v>#DIV/0!</v>
      </c>
      <c r="J28" s="29" t="e">
        <f t="shared" si="6"/>
        <v>#DIV/0!</v>
      </c>
      <c r="K28" s="27" t="e">
        <f t="shared" si="6"/>
        <v>#DIV/0!</v>
      </c>
      <c r="L28" s="28" t="e">
        <f t="shared" si="6"/>
        <v>#DIV/0!</v>
      </c>
      <c r="M28" s="29" t="e">
        <f t="shared" si="6"/>
        <v>#DIV/0!</v>
      </c>
      <c r="N28" s="27" t="e">
        <f t="shared" si="6"/>
        <v>#DIV/0!</v>
      </c>
      <c r="O28" s="28" t="e">
        <f t="shared" si="6"/>
        <v>#DIV/0!</v>
      </c>
      <c r="P28" s="29" t="e">
        <f t="shared" si="6"/>
        <v>#DIV/0!</v>
      </c>
      <c r="Q28" s="27" t="e">
        <f t="shared" ref="Q28:S28" si="7">AVERAGE(Q12,Q20)</f>
        <v>#DIV/0!</v>
      </c>
      <c r="R28" s="28" t="e">
        <f t="shared" si="7"/>
        <v>#DIV/0!</v>
      </c>
      <c r="S28" s="29" t="e">
        <f t="shared" si="7"/>
        <v>#DIV/0!</v>
      </c>
    </row>
    <row r="29" spans="1:19">
      <c r="K29" s="10"/>
      <c r="L29" s="10"/>
      <c r="M29" s="31"/>
      <c r="N29" s="31"/>
      <c r="O29" s="31"/>
    </row>
    <row r="30" spans="1:19">
      <c r="K30" s="10"/>
      <c r="L30" s="10"/>
      <c r="M30" s="31"/>
      <c r="N30" s="31"/>
      <c r="O30" s="31"/>
    </row>
    <row r="31" spans="1:19">
      <c r="A31" s="44" t="s">
        <v>64</v>
      </c>
      <c r="B31" s="45"/>
      <c r="C31" s="45"/>
      <c r="D31" s="45"/>
      <c r="E31" s="45"/>
      <c r="F31" s="45"/>
      <c r="G31" s="46"/>
      <c r="H31" s="45"/>
      <c r="I31" s="45"/>
      <c r="J31" s="45"/>
      <c r="K31" s="10"/>
      <c r="L31" s="10"/>
      <c r="M31" s="31"/>
      <c r="N31" s="31"/>
      <c r="O31" s="31"/>
    </row>
    <row r="32" spans="1:19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10"/>
      <c r="L32" s="10"/>
      <c r="M32" s="31"/>
      <c r="N32" s="31"/>
      <c r="O32" s="31"/>
    </row>
    <row r="33" spans="1:20">
      <c r="A33" s="47" t="s">
        <v>6</v>
      </c>
      <c r="G33" s="45"/>
      <c r="H33" s="45"/>
      <c r="I33" s="45"/>
      <c r="J33" s="45"/>
      <c r="K33" s="45"/>
    </row>
    <row r="34" spans="1:20" ht="13" thickBot="1">
      <c r="A34" s="48"/>
      <c r="B34" s="48"/>
      <c r="C34" s="48"/>
      <c r="D34" s="48"/>
      <c r="E34" s="48"/>
      <c r="F34" s="48"/>
      <c r="G34" s="49"/>
      <c r="H34" s="49"/>
      <c r="I34" s="45"/>
      <c r="J34" s="45"/>
      <c r="K34" s="45"/>
    </row>
    <row r="35" spans="1:20">
      <c r="A35" s="48"/>
      <c r="B35" s="48"/>
      <c r="C35" s="229" t="s">
        <v>7</v>
      </c>
      <c r="D35" s="230"/>
      <c r="E35" s="231"/>
      <c r="F35" s="229" t="s">
        <v>72</v>
      </c>
      <c r="G35" s="230"/>
      <c r="H35" s="231"/>
      <c r="I35" s="45"/>
      <c r="J35" s="45"/>
      <c r="K35" s="45"/>
    </row>
    <row r="36" spans="1:20">
      <c r="A36" s="48"/>
      <c r="B36" s="48"/>
      <c r="C36" s="50" t="s">
        <v>8</v>
      </c>
      <c r="D36" s="51" t="s">
        <v>9</v>
      </c>
      <c r="E36" s="52" t="s">
        <v>10</v>
      </c>
      <c r="F36" s="50" t="s">
        <v>11</v>
      </c>
      <c r="G36" s="51" t="s">
        <v>12</v>
      </c>
      <c r="H36" s="52" t="s">
        <v>13</v>
      </c>
      <c r="I36" s="45"/>
      <c r="J36" s="45"/>
      <c r="K36" s="45"/>
    </row>
    <row r="37" spans="1:20">
      <c r="A37" s="228" t="s">
        <v>14</v>
      </c>
      <c r="B37" s="226"/>
      <c r="C37" s="23">
        <f>IF(B4&lt;&gt;0,(D37-1)*1/TAN(RADIANS(B4)),5.7)</f>
        <v>5.7</v>
      </c>
      <c r="D37" s="24">
        <f>(EXP((0.75*PI()-RADIANS(B4)/2)*TAN(RADIANS(B4))))^2/(2*(COS(RADIANS(45+B4/2)))^2)</f>
        <v>0.99999999999999978</v>
      </c>
      <c r="E37" s="25">
        <f>(2*(D37+1)*TAN(RADIANS(B4)))/(1+0.4*SIN(4*(RADIANS(B4))))</f>
        <v>0</v>
      </c>
      <c r="F37" s="23">
        <f>IF(C4&lt;&gt;0,(G37-1)*1/TAN(RADIANS(C4)),5.7)</f>
        <v>5.7</v>
      </c>
      <c r="G37" s="24">
        <f>(EXP((0.75*PI()-RADIANS(C4)/2)*TAN(RADIANS(C4))))^2/(2*(COS(RADIANS(45+C4/2)))^2)</f>
        <v>0.99999999999999978</v>
      </c>
      <c r="H37" s="25">
        <f>(2*(G37+1)*TAN(RADIANS(C4)))/(1+0.4*SIN(4*(RADIANS(C4))))</f>
        <v>0</v>
      </c>
      <c r="I37" s="45"/>
      <c r="J37" s="44"/>
      <c r="K37" s="45"/>
      <c r="N37" s="70"/>
    </row>
    <row r="38" spans="1:20">
      <c r="A38" s="228" t="s">
        <v>15</v>
      </c>
      <c r="B38" s="226"/>
      <c r="C38" s="23">
        <f>IF(B4&lt;&gt;0,(D38-1)*1/TAN(RADIANS(B4)),5.14)</f>
        <v>5.14</v>
      </c>
      <c r="D38" s="24">
        <f>EXP(PI()*TAN(RADIANS(B4)))*(TAN(RADIANS(45+B4/2)))^2</f>
        <v>0.99999999999999978</v>
      </c>
      <c r="E38" s="65">
        <f>(D38-1)*TAN(RADIANS(1.4*B4))</f>
        <v>0</v>
      </c>
      <c r="F38" s="66">
        <f>IF(C4&lt;&gt;0,(G38-1)*1/TAN(RADIANS(C4)),5.14)</f>
        <v>5.14</v>
      </c>
      <c r="G38" s="24">
        <f>EXP(PI()*TAN(RADIANS(C4)))*(TAN(RADIANS(45+C4/2)))^2</f>
        <v>0.99999999999999978</v>
      </c>
      <c r="H38" s="25">
        <f>(G38-1)*TAN(RADIANS(1.4*C4))</f>
        <v>0</v>
      </c>
      <c r="I38" s="45"/>
      <c r="J38" s="81"/>
      <c r="K38" s="45"/>
    </row>
    <row r="39" spans="1:20">
      <c r="A39" s="228" t="s">
        <v>16</v>
      </c>
      <c r="B39" s="226"/>
      <c r="C39" s="23">
        <f>C38</f>
        <v>5.14</v>
      </c>
      <c r="D39" s="24">
        <f>D38</f>
        <v>0.99999999999999978</v>
      </c>
      <c r="E39" s="65">
        <f>1.5*(D38-1)*TAN(RADIANS(B4))</f>
        <v>0</v>
      </c>
      <c r="F39" s="66">
        <f>F38</f>
        <v>5.14</v>
      </c>
      <c r="G39" s="24">
        <f>G38</f>
        <v>0.99999999999999978</v>
      </c>
      <c r="H39" s="25">
        <f>1.5*(D38-1)*TAN(RADIANS(C4))</f>
        <v>0</v>
      </c>
      <c r="I39" s="45"/>
      <c r="J39" s="44"/>
      <c r="K39" s="45"/>
    </row>
    <row r="40" spans="1:20" ht="13" thickBot="1">
      <c r="A40" s="228" t="s">
        <v>17</v>
      </c>
      <c r="B40" s="226"/>
      <c r="C40" s="27">
        <f>C38</f>
        <v>5.14</v>
      </c>
      <c r="D40" s="28">
        <f>D38</f>
        <v>0.99999999999999978</v>
      </c>
      <c r="E40" s="67">
        <f>2*(D40+1)*TAN(RADIANS(B4))</f>
        <v>0</v>
      </c>
      <c r="F40" s="68">
        <f>F38</f>
        <v>5.14</v>
      </c>
      <c r="G40" s="28">
        <f>G38</f>
        <v>0.99999999999999978</v>
      </c>
      <c r="H40" s="29">
        <f>2*(D40+1)*TAN(RADIANS(C4))</f>
        <v>0</v>
      </c>
      <c r="I40" s="45"/>
      <c r="J40" s="45"/>
      <c r="K40" s="45"/>
    </row>
    <row r="41" spans="1:20">
      <c r="A41" s="31"/>
      <c r="B41" s="40"/>
      <c r="C41" s="40"/>
      <c r="D41" s="48"/>
      <c r="E41" s="42"/>
      <c r="F41" s="42"/>
      <c r="G41" s="49"/>
      <c r="H41" s="49"/>
      <c r="I41" s="45"/>
      <c r="J41" s="45"/>
      <c r="K41" s="45"/>
    </row>
    <row r="42" spans="1:20" ht="13" thickBot="1">
      <c r="A42" s="14"/>
      <c r="B42" s="22"/>
      <c r="C42" s="22"/>
      <c r="E42" s="42"/>
      <c r="F42" s="42"/>
      <c r="G42" s="45"/>
      <c r="H42" s="45"/>
      <c r="I42" s="45"/>
      <c r="J42" s="45"/>
      <c r="K42" s="45"/>
    </row>
    <row r="43" spans="1:20" ht="13" thickBot="1">
      <c r="A43" s="47" t="s">
        <v>18</v>
      </c>
      <c r="B43" s="22"/>
      <c r="C43" s="238" t="s">
        <v>70</v>
      </c>
      <c r="D43" s="239"/>
      <c r="E43" s="239"/>
      <c r="F43" s="239"/>
      <c r="G43" s="239"/>
      <c r="H43" s="239"/>
      <c r="I43" s="239"/>
      <c r="J43" s="239"/>
      <c r="K43" s="240"/>
      <c r="L43" s="238" t="s">
        <v>71</v>
      </c>
      <c r="M43" s="239"/>
      <c r="N43" s="239"/>
      <c r="O43" s="239"/>
      <c r="P43" s="239"/>
      <c r="Q43" s="239"/>
      <c r="R43" s="239"/>
      <c r="S43" s="239"/>
      <c r="T43" s="240"/>
    </row>
    <row r="44" spans="1:20">
      <c r="A44" s="14"/>
      <c r="B44" s="22"/>
      <c r="C44" s="233" t="s">
        <v>19</v>
      </c>
      <c r="D44" s="234"/>
      <c r="E44" s="235"/>
      <c r="F44" s="233" t="s">
        <v>20</v>
      </c>
      <c r="G44" s="234"/>
      <c r="H44" s="236"/>
      <c r="I44" s="233" t="s">
        <v>21</v>
      </c>
      <c r="J44" s="234"/>
      <c r="K44" s="235"/>
      <c r="L44" s="233" t="s">
        <v>19</v>
      </c>
      <c r="M44" s="234"/>
      <c r="N44" s="235"/>
      <c r="O44" s="233" t="s">
        <v>20</v>
      </c>
      <c r="P44" s="234"/>
      <c r="Q44" s="236"/>
      <c r="R44" s="233" t="s">
        <v>21</v>
      </c>
      <c r="S44" s="234"/>
      <c r="T44" s="235"/>
    </row>
    <row r="45" spans="1:20">
      <c r="A45" s="14"/>
      <c r="B45" s="22"/>
      <c r="C45" s="53" t="s">
        <v>22</v>
      </c>
      <c r="D45" s="54" t="s">
        <v>23</v>
      </c>
      <c r="E45" s="55" t="s">
        <v>24</v>
      </c>
      <c r="F45" s="53" t="s">
        <v>22</v>
      </c>
      <c r="G45" s="54" t="s">
        <v>23</v>
      </c>
      <c r="H45" s="84" t="s">
        <v>24</v>
      </c>
      <c r="I45" s="53" t="s">
        <v>22</v>
      </c>
      <c r="J45" s="54" t="s">
        <v>23</v>
      </c>
      <c r="K45" s="55" t="s">
        <v>24</v>
      </c>
      <c r="L45" s="53" t="s">
        <v>22</v>
      </c>
      <c r="M45" s="54" t="s">
        <v>23</v>
      </c>
      <c r="N45" s="55" t="s">
        <v>24</v>
      </c>
      <c r="O45" s="53" t="s">
        <v>22</v>
      </c>
      <c r="P45" s="54" t="s">
        <v>23</v>
      </c>
      <c r="Q45" s="84" t="s">
        <v>24</v>
      </c>
      <c r="R45" s="53" t="s">
        <v>22</v>
      </c>
      <c r="S45" s="54" t="s">
        <v>23</v>
      </c>
      <c r="T45" s="55" t="s">
        <v>24</v>
      </c>
    </row>
    <row r="46" spans="1:20">
      <c r="A46" s="228" t="s">
        <v>14</v>
      </c>
      <c r="B46" s="226"/>
      <c r="C46" s="101" t="s">
        <v>74</v>
      </c>
      <c r="D46" s="75" t="s">
        <v>74</v>
      </c>
      <c r="E46" s="100" t="s">
        <v>74</v>
      </c>
      <c r="F46" s="74" t="s">
        <v>74</v>
      </c>
      <c r="G46" s="75" t="s">
        <v>74</v>
      </c>
      <c r="H46" s="102" t="s">
        <v>74</v>
      </c>
      <c r="I46" s="103" t="s">
        <v>74</v>
      </c>
      <c r="J46" s="104" t="s">
        <v>74</v>
      </c>
      <c r="K46" s="105" t="s">
        <v>74</v>
      </c>
      <c r="L46" s="74" t="s">
        <v>74</v>
      </c>
      <c r="M46" s="75" t="s">
        <v>74</v>
      </c>
      <c r="N46" s="100" t="s">
        <v>74</v>
      </c>
      <c r="O46" s="74" t="s">
        <v>74</v>
      </c>
      <c r="P46" s="75" t="s">
        <v>74</v>
      </c>
      <c r="Q46" s="102" t="s">
        <v>74</v>
      </c>
      <c r="R46" s="74" t="s">
        <v>74</v>
      </c>
      <c r="S46" s="75" t="s">
        <v>74</v>
      </c>
      <c r="T46" s="106" t="s">
        <v>74</v>
      </c>
    </row>
    <row r="47" spans="1:20">
      <c r="A47" s="228" t="s">
        <v>15</v>
      </c>
      <c r="B47" s="226"/>
      <c r="C47" s="88" t="e">
        <f>IF(B4&lt;&gt;0,1+0.2*(TAN(RADIANS(45+B4/2)))^2*B11/B12,1+0.2*B11/B12)</f>
        <v>#DIV/0!</v>
      </c>
      <c r="D47" s="71">
        <f>IF(B4&lt;&gt;0,1+0.1*(TAN(RADIANS(45+B4/2)))^2*B11/B12,1)</f>
        <v>1</v>
      </c>
      <c r="E47" s="65">
        <f>D47</f>
        <v>1</v>
      </c>
      <c r="F47" s="66">
        <f>IF(B4&lt;&gt;0,1+0.2*(TAN(RADIANS(45+B4/2)))^2,1+0.2)</f>
        <v>1.2</v>
      </c>
      <c r="G47" s="71">
        <f>IF(B4&lt;&gt;0,1+0.1*(TAN(RADIANS(45+B4/2)))^2,1)</f>
        <v>1</v>
      </c>
      <c r="H47" s="82">
        <f>G47</f>
        <v>1</v>
      </c>
      <c r="I47" s="94">
        <f t="shared" ref="I47:K49" si="8">F47</f>
        <v>1.2</v>
      </c>
      <c r="J47" s="95">
        <f t="shared" si="8"/>
        <v>1</v>
      </c>
      <c r="K47" s="96">
        <f t="shared" si="8"/>
        <v>1</v>
      </c>
      <c r="L47" s="88" t="e">
        <f>IF(C4&lt;&gt;0,1+0.2*(TAN(RADIANS(45+C4/2)))^2*B11/B12,1+0.2*B11/B12)</f>
        <v>#DIV/0!</v>
      </c>
      <c r="M47" s="71">
        <f>IF(C4&lt;&gt;0,1+0.1*(TAN(RADIANS(45+C4/2)))^2*B11/B12,1)</f>
        <v>1</v>
      </c>
      <c r="N47" s="65">
        <f>M47</f>
        <v>1</v>
      </c>
      <c r="O47" s="66">
        <f>IF(C4&lt;&gt;0,1+0.2*(TAN(RADIANS(45+C4/2)))^2,1+0.2)</f>
        <v>1.2</v>
      </c>
      <c r="P47" s="71">
        <f>IF(C4&lt;&gt;0,1+0.1*(TAN(RADIANS(45+C4/2)))^2,1)</f>
        <v>1</v>
      </c>
      <c r="Q47" s="82">
        <f>P47</f>
        <v>1</v>
      </c>
      <c r="R47" s="94">
        <f t="shared" ref="R47:T49" si="9">O47</f>
        <v>1.2</v>
      </c>
      <c r="S47" s="95">
        <f t="shared" si="9"/>
        <v>1</v>
      </c>
      <c r="T47" s="96">
        <f t="shared" si="9"/>
        <v>1</v>
      </c>
    </row>
    <row r="48" spans="1:20">
      <c r="A48" s="228" t="s">
        <v>16</v>
      </c>
      <c r="B48" s="226"/>
      <c r="C48" s="89" t="e">
        <f>IF(B4=0,0.2*(B11/B12),1+(D39/C39)*(B11/B12))</f>
        <v>#DIV/0!</v>
      </c>
      <c r="D48" s="76" t="e">
        <f>1+($B$11/$B$12)*SIN(RADIANS($B$4))</f>
        <v>#DIV/0!</v>
      </c>
      <c r="E48" s="77" t="e">
        <f>1-0.4*($B$11/$B$12)</f>
        <v>#DIV/0!</v>
      </c>
      <c r="F48" s="78">
        <f>IF(B4=0,0.2,1+(D39/C39))</f>
        <v>0.2</v>
      </c>
      <c r="G48" s="76">
        <f>1+SIN(RADIANS($B$4))</f>
        <v>1</v>
      </c>
      <c r="H48" s="83">
        <v>0.6</v>
      </c>
      <c r="I48" s="79">
        <f t="shared" si="8"/>
        <v>0.2</v>
      </c>
      <c r="J48" s="80">
        <f t="shared" si="8"/>
        <v>1</v>
      </c>
      <c r="K48" s="77">
        <f t="shared" si="8"/>
        <v>0.6</v>
      </c>
      <c r="L48" s="89" t="e">
        <f>IF(C4=0,0.2*(B11/B12),1+(G39/F39)*(B11/B12))</f>
        <v>#DIV/0!</v>
      </c>
      <c r="M48" s="76" t="e">
        <f>1+($B$11/$B$12)*SIN(RADIANS($C$4))</f>
        <v>#DIV/0!</v>
      </c>
      <c r="N48" s="77" t="e">
        <f>1-0.4*($B$11/$B$12)</f>
        <v>#DIV/0!</v>
      </c>
      <c r="O48" s="78">
        <f>IF(C4=0,0.2,1+(G39/F39))</f>
        <v>0.2</v>
      </c>
      <c r="P48" s="76">
        <f>1+SIN(RADIANS($C$4))</f>
        <v>1</v>
      </c>
      <c r="Q48" s="83">
        <v>0.6</v>
      </c>
      <c r="R48" s="79">
        <f t="shared" si="9"/>
        <v>0.2</v>
      </c>
      <c r="S48" s="80">
        <f t="shared" si="9"/>
        <v>1</v>
      </c>
      <c r="T48" s="93">
        <f t="shared" si="9"/>
        <v>0.6</v>
      </c>
    </row>
    <row r="49" spans="1:24" ht="13" thickBot="1">
      <c r="A49" s="228" t="s">
        <v>17</v>
      </c>
      <c r="B49" s="226"/>
      <c r="C49" s="85" t="e">
        <f>C48</f>
        <v>#DIV/0!</v>
      </c>
      <c r="D49" s="86" t="e">
        <f>1+($B$11/$B$12)*TAN(RADIANS($B$4))</f>
        <v>#DIV/0!</v>
      </c>
      <c r="E49" s="90" t="e">
        <f>1-0.4*B11/B12</f>
        <v>#DIV/0!</v>
      </c>
      <c r="F49" s="91">
        <f>F48</f>
        <v>0.2</v>
      </c>
      <c r="G49" s="86">
        <f>G48</f>
        <v>1</v>
      </c>
      <c r="H49" s="92">
        <v>0.6</v>
      </c>
      <c r="I49" s="85">
        <f t="shared" si="8"/>
        <v>0.2</v>
      </c>
      <c r="J49" s="86">
        <f t="shared" si="8"/>
        <v>1</v>
      </c>
      <c r="K49" s="87">
        <f t="shared" si="8"/>
        <v>0.6</v>
      </c>
      <c r="L49" s="85" t="e">
        <f>L48</f>
        <v>#DIV/0!</v>
      </c>
      <c r="M49" s="86" t="e">
        <f>1+($B$11/$B$12)*TAN(RADIANS($C$4))</f>
        <v>#DIV/0!</v>
      </c>
      <c r="N49" s="90" t="e">
        <f>1-0.4*B11/B12</f>
        <v>#DIV/0!</v>
      </c>
      <c r="O49" s="91">
        <f>O48</f>
        <v>0.2</v>
      </c>
      <c r="P49" s="86">
        <f>1+TAN(C4)</f>
        <v>1</v>
      </c>
      <c r="Q49" s="92">
        <v>0.6</v>
      </c>
      <c r="R49" s="85">
        <f>R48</f>
        <v>0.2</v>
      </c>
      <c r="S49" s="86">
        <f t="shared" si="9"/>
        <v>1</v>
      </c>
      <c r="T49" s="87">
        <f t="shared" si="9"/>
        <v>0.6</v>
      </c>
    </row>
    <row r="50" spans="1:24">
      <c r="A50" s="14"/>
      <c r="B50" s="22"/>
      <c r="C50" s="22"/>
      <c r="E50" s="42"/>
      <c r="F50" s="42"/>
      <c r="G50" s="45"/>
      <c r="H50" s="45"/>
      <c r="I50" s="45"/>
      <c r="J50" s="45"/>
      <c r="K50" s="45"/>
    </row>
    <row r="51" spans="1:24">
      <c r="A51" s="14"/>
      <c r="B51" s="22"/>
      <c r="C51" s="22"/>
      <c r="E51" s="42"/>
      <c r="F51" s="42"/>
      <c r="G51" s="45"/>
      <c r="H51" s="45"/>
      <c r="I51" s="45"/>
      <c r="J51" s="45"/>
      <c r="K51" s="45"/>
    </row>
    <row r="52" spans="1:24" ht="13" thickBot="1">
      <c r="A52" s="47" t="s">
        <v>25</v>
      </c>
      <c r="B52" s="22"/>
      <c r="C52" s="22"/>
      <c r="E52" s="42"/>
      <c r="F52" s="42"/>
      <c r="K52" s="47" t="s">
        <v>26</v>
      </c>
      <c r="L52" s="45"/>
      <c r="M52" s="45"/>
      <c r="N52" s="45"/>
      <c r="O52" s="45"/>
    </row>
    <row r="53" spans="1:24">
      <c r="A53" s="14"/>
      <c r="B53" s="22"/>
      <c r="C53" s="229" t="s">
        <v>7</v>
      </c>
      <c r="D53" s="230"/>
      <c r="E53" s="231"/>
      <c r="F53" s="229" t="s">
        <v>72</v>
      </c>
      <c r="G53" s="230"/>
      <c r="H53" s="231"/>
      <c r="K53" s="45"/>
      <c r="L53" s="45"/>
      <c r="M53" s="229" t="s">
        <v>7</v>
      </c>
      <c r="N53" s="230"/>
      <c r="O53" s="231"/>
      <c r="P53" s="229" t="s">
        <v>72</v>
      </c>
      <c r="Q53" s="230"/>
      <c r="R53" s="231"/>
    </row>
    <row r="54" spans="1:24">
      <c r="A54" s="48"/>
      <c r="B54" s="48"/>
      <c r="C54" s="56" t="s">
        <v>27</v>
      </c>
      <c r="D54" s="57" t="s">
        <v>28</v>
      </c>
      <c r="E54" s="58" t="s">
        <v>29</v>
      </c>
      <c r="F54" s="56" t="s">
        <v>27</v>
      </c>
      <c r="G54" s="57" t="s">
        <v>28</v>
      </c>
      <c r="H54" s="58" t="s">
        <v>29</v>
      </c>
      <c r="K54" s="48"/>
      <c r="L54" s="48"/>
      <c r="M54" s="59" t="s">
        <v>30</v>
      </c>
      <c r="N54" s="60" t="s">
        <v>31</v>
      </c>
      <c r="O54" s="61" t="s">
        <v>32</v>
      </c>
      <c r="P54" s="59" t="s">
        <v>30</v>
      </c>
      <c r="Q54" s="60" t="s">
        <v>31</v>
      </c>
      <c r="R54" s="61" t="s">
        <v>32</v>
      </c>
      <c r="U54" s="81"/>
      <c r="V54" s="81"/>
      <c r="X54" s="107"/>
    </row>
    <row r="55" spans="1:24">
      <c r="A55" s="228" t="s">
        <v>14</v>
      </c>
      <c r="B55" s="226"/>
      <c r="C55" s="74" t="s">
        <v>74</v>
      </c>
      <c r="D55" s="75" t="s">
        <v>74</v>
      </c>
      <c r="E55" s="100" t="s">
        <v>74</v>
      </c>
      <c r="F55" s="74" t="s">
        <v>74</v>
      </c>
      <c r="G55" s="75" t="s">
        <v>74</v>
      </c>
      <c r="H55" s="100" t="s">
        <v>74</v>
      </c>
      <c r="K55" s="226" t="s">
        <v>14</v>
      </c>
      <c r="L55" s="237"/>
      <c r="M55" s="74" t="s">
        <v>74</v>
      </c>
      <c r="N55" s="75" t="s">
        <v>74</v>
      </c>
      <c r="O55" s="100" t="s">
        <v>74</v>
      </c>
      <c r="P55" s="74" t="s">
        <v>74</v>
      </c>
      <c r="Q55" s="75" t="s">
        <v>74</v>
      </c>
      <c r="R55" s="100" t="s">
        <v>74</v>
      </c>
      <c r="T55" s="81"/>
      <c r="U55" s="108"/>
      <c r="V55" s="108"/>
      <c r="X55" s="108"/>
    </row>
    <row r="56" spans="1:24">
      <c r="A56" s="228" t="s">
        <v>15</v>
      </c>
      <c r="B56" s="226"/>
      <c r="C56" s="23" t="e">
        <f>IF(OR(B4&lt;&gt;0),1+0.2*(TAN(RADIANS(45+B4/2)))^0.5*B17/B15,1+0.2*B17/B15)</f>
        <v>#DIV/0!</v>
      </c>
      <c r="D56" s="24">
        <f>IF(B4&lt;&gt;0,1+0.1*(TAN(RADIANS(45+B4/2)))^0.5*B17/B15,1)</f>
        <v>1</v>
      </c>
      <c r="E56" s="65">
        <f>D56</f>
        <v>1</v>
      </c>
      <c r="F56" s="23" t="e">
        <f>IF(C4&lt;&gt;0,1+0.2*(TAN(RADIANS(45+C4/2)))^0.5*B17/B15,1+0.2*B17/B15)</f>
        <v>#DIV/0!</v>
      </c>
      <c r="G56" s="24">
        <f>IF(C4&lt;&gt;0,1+0.1*(TAN(RADIANS(45+C4/2)))^0.5*B17/B15,1)</f>
        <v>1</v>
      </c>
      <c r="H56" s="65">
        <f>G56</f>
        <v>1</v>
      </c>
      <c r="K56" s="226" t="s">
        <v>15</v>
      </c>
      <c r="L56" s="237"/>
      <c r="M56" s="66">
        <v>1</v>
      </c>
      <c r="N56" s="72">
        <v>1</v>
      </c>
      <c r="O56" s="65">
        <v>1</v>
      </c>
      <c r="P56" s="66">
        <v>1</v>
      </c>
      <c r="Q56" s="72">
        <v>1</v>
      </c>
      <c r="R56" s="65">
        <v>1</v>
      </c>
      <c r="T56" s="81"/>
      <c r="U56" s="108"/>
      <c r="V56" s="108"/>
      <c r="X56" s="108"/>
    </row>
    <row r="57" spans="1:24">
      <c r="A57" s="228" t="s">
        <v>16</v>
      </c>
      <c r="B57" s="226"/>
      <c r="C57" s="23" t="e">
        <f>IF(AND(B4=0,(B17/B15&lt;=1)),0.4*B17/B15,IF(AND(B4=0,(B17/B15&gt;1)),0.4*ATAN(B17/B15),IF(AND(B4&lt;&gt;0,(B17/B15&lt;=1)),1+0.4*(B17/B15),IF(AND(B4&lt;&gt;0,(B17/B15&gt;1)),1+0.4*ATAN(B17/B15),""))))</f>
        <v>#DIV/0!</v>
      </c>
      <c r="D57" s="24" t="e">
        <f>IF(B17/B15&lt;=1,1+2*TAN(RADIANS(B4))*(1-SIN(RADIANS(B4)))^2*(B17/B15),1+2*TAN(RADIANS(B4))*(1-SIN(RADIANS(B4)))^2*(ATAN(B17/B15)))</f>
        <v>#DIV/0!</v>
      </c>
      <c r="E57" s="65">
        <v>1</v>
      </c>
      <c r="F57" s="23" t="e">
        <f>IF(AND(C4=0,(B17/B15&lt;=1)),0.4*B17/B15,IF(AND(C4=0,(B17/B15&gt;1)),0.4*ATAN(B17/B15),IF(AND(C4&lt;&gt;0,(B17/B15&lt;=1)),1+0.4*(B17/B15),IF(AND(C4&lt;&gt;0,(B17/B15&gt;1)),1+0.4*ATAN(B17/B15),""))))</f>
        <v>#DIV/0!</v>
      </c>
      <c r="G57" s="24" t="e">
        <f>IF(B17/B15&lt;=1,1+2*TAN(RADIANS(C4))*(1-SIN(RADIANS(C4)))^2*(B17/B15),1+2*TAN(RADIANS(C4))*(1-SIN(RADIANS(C4)))^2*(ATAN(B17/B15)))</f>
        <v>#DIV/0!</v>
      </c>
      <c r="H57" s="65">
        <v>1</v>
      </c>
      <c r="K57" s="226" t="s">
        <v>16</v>
      </c>
      <c r="L57" s="237"/>
      <c r="M57" s="66">
        <v>1</v>
      </c>
      <c r="N57" s="72">
        <v>1</v>
      </c>
      <c r="O57" s="65">
        <v>1</v>
      </c>
      <c r="P57" s="66">
        <v>1</v>
      </c>
      <c r="Q57" s="72">
        <v>1</v>
      </c>
      <c r="R57" s="65">
        <v>1</v>
      </c>
      <c r="T57" s="81"/>
      <c r="U57" s="108"/>
      <c r="V57" s="108"/>
      <c r="X57" s="108"/>
    </row>
    <row r="58" spans="1:24" ht="13" thickBot="1">
      <c r="A58" s="228" t="s">
        <v>17</v>
      </c>
      <c r="B58" s="226"/>
      <c r="C58" s="27" t="e">
        <f>C57</f>
        <v>#DIV/0!</v>
      </c>
      <c r="D58" s="28" t="e">
        <f>D57</f>
        <v>#DIV/0!</v>
      </c>
      <c r="E58" s="67">
        <f>E57</f>
        <v>1</v>
      </c>
      <c r="F58" s="27" t="e">
        <f t="shared" ref="F58:H58" si="10">F57</f>
        <v>#DIV/0!</v>
      </c>
      <c r="G58" s="28" t="e">
        <f t="shared" si="10"/>
        <v>#DIV/0!</v>
      </c>
      <c r="H58" s="67">
        <f t="shared" si="10"/>
        <v>1</v>
      </c>
      <c r="K58" s="226" t="s">
        <v>17</v>
      </c>
      <c r="L58" s="237"/>
      <c r="M58" s="110">
        <v>1</v>
      </c>
      <c r="N58" s="73">
        <v>1</v>
      </c>
      <c r="O58" s="67">
        <v>1</v>
      </c>
      <c r="P58" s="68">
        <v>1</v>
      </c>
      <c r="Q58" s="73">
        <v>1</v>
      </c>
      <c r="R58" s="67">
        <v>1</v>
      </c>
    </row>
    <row r="59" spans="1:24">
      <c r="A59" s="14"/>
      <c r="B59" s="22"/>
      <c r="C59" s="22"/>
      <c r="E59" s="42"/>
      <c r="F59" s="42"/>
      <c r="K59" s="45"/>
      <c r="L59" s="45"/>
      <c r="M59" s="45"/>
      <c r="N59" s="45"/>
      <c r="O59" s="45"/>
    </row>
    <row r="60" spans="1:24">
      <c r="A60" s="14"/>
      <c r="B60" s="22"/>
      <c r="C60" s="22"/>
      <c r="E60" s="42"/>
      <c r="F60" s="42"/>
      <c r="K60" s="45"/>
      <c r="L60" s="45"/>
      <c r="M60" s="45"/>
      <c r="N60" s="45"/>
      <c r="O60" s="45"/>
    </row>
    <row r="61" spans="1:24" ht="13" thickBot="1">
      <c r="A61" s="47" t="s">
        <v>33</v>
      </c>
      <c r="B61" s="22"/>
      <c r="C61" s="22"/>
      <c r="E61" s="42"/>
      <c r="F61" s="42"/>
      <c r="K61" s="47" t="s">
        <v>34</v>
      </c>
      <c r="L61" s="45"/>
      <c r="M61" s="45"/>
      <c r="N61" s="45"/>
      <c r="O61" s="45"/>
    </row>
    <row r="62" spans="1:24" ht="14">
      <c r="A62" s="14"/>
      <c r="B62" s="22"/>
      <c r="C62" s="229" t="s">
        <v>7</v>
      </c>
      <c r="D62" s="230"/>
      <c r="E62" s="231"/>
      <c r="F62" s="229" t="s">
        <v>72</v>
      </c>
      <c r="G62" s="230"/>
      <c r="H62" s="231"/>
      <c r="K62" s="45"/>
      <c r="L62" s="45"/>
      <c r="M62" s="229" t="s">
        <v>7</v>
      </c>
      <c r="N62" s="230"/>
      <c r="O62" s="231"/>
      <c r="P62" s="244" t="s">
        <v>72</v>
      </c>
      <c r="Q62" s="245"/>
      <c r="R62" s="246"/>
    </row>
    <row r="63" spans="1:24">
      <c r="A63" s="48"/>
      <c r="B63" s="48"/>
      <c r="C63" s="62" t="s">
        <v>35</v>
      </c>
      <c r="D63" s="63" t="s">
        <v>36</v>
      </c>
      <c r="E63" s="64" t="s">
        <v>37</v>
      </c>
      <c r="F63" s="62" t="s">
        <v>35</v>
      </c>
      <c r="G63" s="63" t="s">
        <v>36</v>
      </c>
      <c r="H63" s="64" t="s">
        <v>37</v>
      </c>
      <c r="K63" s="48"/>
      <c r="L63" s="48"/>
      <c r="M63" s="97" t="s">
        <v>38</v>
      </c>
      <c r="N63" s="98" t="s">
        <v>39</v>
      </c>
      <c r="O63" s="99" t="s">
        <v>40</v>
      </c>
      <c r="P63" s="97" t="s">
        <v>38</v>
      </c>
      <c r="Q63" s="98" t="s">
        <v>39</v>
      </c>
      <c r="R63" s="99" t="s">
        <v>40</v>
      </c>
    </row>
    <row r="64" spans="1:24">
      <c r="A64" s="228" t="s">
        <v>14</v>
      </c>
      <c r="B64" s="226"/>
      <c r="C64" s="74" t="s">
        <v>74</v>
      </c>
      <c r="D64" s="75" t="s">
        <v>74</v>
      </c>
      <c r="E64" s="100" t="s">
        <v>74</v>
      </c>
      <c r="F64" s="74" t="s">
        <v>74</v>
      </c>
      <c r="G64" s="75" t="s">
        <v>74</v>
      </c>
      <c r="H64" s="100" t="s">
        <v>74</v>
      </c>
      <c r="K64" s="226" t="s">
        <v>14</v>
      </c>
      <c r="L64" s="237"/>
      <c r="M64" s="74" t="s">
        <v>74</v>
      </c>
      <c r="N64" s="75" t="s">
        <v>74</v>
      </c>
      <c r="O64" s="100" t="s">
        <v>74</v>
      </c>
      <c r="P64" s="74" t="s">
        <v>74</v>
      </c>
      <c r="Q64" s="75" t="s">
        <v>74</v>
      </c>
      <c r="R64" s="100" t="s">
        <v>74</v>
      </c>
    </row>
    <row r="65" spans="1:18">
      <c r="A65" s="228" t="s">
        <v>15</v>
      </c>
      <c r="B65" s="226"/>
      <c r="C65" s="74" t="s">
        <v>74</v>
      </c>
      <c r="D65" s="75" t="s">
        <v>74</v>
      </c>
      <c r="E65" s="100" t="s">
        <v>74</v>
      </c>
      <c r="F65" s="74" t="s">
        <v>74</v>
      </c>
      <c r="G65" s="75" t="s">
        <v>74</v>
      </c>
      <c r="H65" s="100" t="s">
        <v>74</v>
      </c>
      <c r="K65" s="226" t="s">
        <v>15</v>
      </c>
      <c r="L65" s="237"/>
      <c r="M65" s="74" t="s">
        <v>74</v>
      </c>
      <c r="N65" s="75" t="s">
        <v>74</v>
      </c>
      <c r="O65" s="100" t="s">
        <v>74</v>
      </c>
      <c r="P65" s="74" t="s">
        <v>74</v>
      </c>
      <c r="Q65" s="75" t="s">
        <v>74</v>
      </c>
      <c r="R65" s="100" t="s">
        <v>74</v>
      </c>
    </row>
    <row r="66" spans="1:18">
      <c r="A66" s="228" t="s">
        <v>16</v>
      </c>
      <c r="B66" s="226"/>
      <c r="C66" s="23">
        <v>1</v>
      </c>
      <c r="D66" s="24">
        <v>1</v>
      </c>
      <c r="E66" s="65">
        <v>1</v>
      </c>
      <c r="F66" s="23">
        <v>1</v>
      </c>
      <c r="G66" s="24">
        <v>1</v>
      </c>
      <c r="H66" s="65">
        <v>1</v>
      </c>
      <c r="K66" s="226" t="s">
        <v>16</v>
      </c>
      <c r="L66" s="237"/>
      <c r="M66" s="23">
        <v>1</v>
      </c>
      <c r="N66" s="24">
        <v>1</v>
      </c>
      <c r="O66" s="65">
        <v>1</v>
      </c>
      <c r="P66" s="23">
        <v>1</v>
      </c>
      <c r="Q66" s="24">
        <v>1</v>
      </c>
      <c r="R66" s="65">
        <v>1</v>
      </c>
    </row>
    <row r="67" spans="1:18" ht="13" thickBot="1">
      <c r="A67" s="228" t="s">
        <v>17</v>
      </c>
      <c r="B67" s="226"/>
      <c r="C67" s="27">
        <v>1</v>
      </c>
      <c r="D67" s="28">
        <v>1</v>
      </c>
      <c r="E67" s="67">
        <v>1</v>
      </c>
      <c r="F67" s="27">
        <v>1</v>
      </c>
      <c r="G67" s="28">
        <v>1</v>
      </c>
      <c r="H67" s="67">
        <v>1</v>
      </c>
      <c r="K67" s="226" t="s">
        <v>17</v>
      </c>
      <c r="L67" s="237"/>
      <c r="M67" s="27">
        <v>1</v>
      </c>
      <c r="N67" s="28">
        <v>1</v>
      </c>
      <c r="O67" s="67">
        <v>1</v>
      </c>
      <c r="P67" s="27">
        <v>1</v>
      </c>
      <c r="Q67" s="28">
        <v>1</v>
      </c>
      <c r="R67" s="67">
        <v>1</v>
      </c>
    </row>
  </sheetData>
  <sheetProtection password="F16F" sheet="1" objects="1" scenarios="1"/>
  <mergeCells count="68">
    <mergeCell ref="Q7:S7"/>
    <mergeCell ref="Q15:S15"/>
    <mergeCell ref="Q23:S23"/>
    <mergeCell ref="P62:R62"/>
    <mergeCell ref="H7:J7"/>
    <mergeCell ref="K7:M7"/>
    <mergeCell ref="N7:P7"/>
    <mergeCell ref="H15:J15"/>
    <mergeCell ref="K15:M15"/>
    <mergeCell ref="N15:P15"/>
    <mergeCell ref="H23:J23"/>
    <mergeCell ref="K23:M23"/>
    <mergeCell ref="N23:P23"/>
    <mergeCell ref="K58:L58"/>
    <mergeCell ref="R44:T44"/>
    <mergeCell ref="C43:K43"/>
    <mergeCell ref="L43:T43"/>
    <mergeCell ref="C53:E53"/>
    <mergeCell ref="F53:H53"/>
    <mergeCell ref="K64:L64"/>
    <mergeCell ref="K65:L65"/>
    <mergeCell ref="L44:N44"/>
    <mergeCell ref="O44:Q44"/>
    <mergeCell ref="K66:L66"/>
    <mergeCell ref="K67:L67"/>
    <mergeCell ref="M53:O53"/>
    <mergeCell ref="M62:O62"/>
    <mergeCell ref="C62:E62"/>
    <mergeCell ref="F62:H62"/>
    <mergeCell ref="K55:L55"/>
    <mergeCell ref="K56:L56"/>
    <mergeCell ref="K57:L57"/>
    <mergeCell ref="A14:B14"/>
    <mergeCell ref="P53:R53"/>
    <mergeCell ref="A67:B67"/>
    <mergeCell ref="A64:B64"/>
    <mergeCell ref="A65:B65"/>
    <mergeCell ref="A66:B66"/>
    <mergeCell ref="A57:B57"/>
    <mergeCell ref="A58:B58"/>
    <mergeCell ref="A48:B48"/>
    <mergeCell ref="A49:B49"/>
    <mergeCell ref="A55:B55"/>
    <mergeCell ref="A56:B56"/>
    <mergeCell ref="C44:E44"/>
    <mergeCell ref="F44:H44"/>
    <mergeCell ref="I44:K44"/>
    <mergeCell ref="A46:B46"/>
    <mergeCell ref="A47:B47"/>
    <mergeCell ref="C35:E35"/>
    <mergeCell ref="F35:H35"/>
    <mergeCell ref="A37:B37"/>
    <mergeCell ref="A38:B38"/>
    <mergeCell ref="A39:B39"/>
    <mergeCell ref="A40:B40"/>
    <mergeCell ref="H6:P6"/>
    <mergeCell ref="F27:G27"/>
    <mergeCell ref="F28:G28"/>
    <mergeCell ref="F18:G18"/>
    <mergeCell ref="F19:G19"/>
    <mergeCell ref="F20:G20"/>
    <mergeCell ref="F25:G25"/>
    <mergeCell ref="F26:G26"/>
    <mergeCell ref="F9:G9"/>
    <mergeCell ref="F10:G10"/>
    <mergeCell ref="F11:G11"/>
    <mergeCell ref="F12:G12"/>
    <mergeCell ref="F17:G17"/>
  </mergeCells>
  <pageMargins left="0.511811024" right="0.511811024" top="0.78740157499999996" bottom="0.78740157499999996" header="0.31496062000000002" footer="0.31496062000000002"/>
  <pageSetup paperSize="9" orientation="portrait" horizontalDpi="300" verticalDpi="300"/>
  <ignoredErrors>
    <ignoredError sqref="E39:E40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5"/>
  <sheetViews>
    <sheetView workbookViewId="0">
      <selection activeCell="B4" sqref="B4"/>
    </sheetView>
  </sheetViews>
  <sheetFormatPr baseColWidth="10" defaultColWidth="8.83203125" defaultRowHeight="14" x14ac:dyDescent="0"/>
  <cols>
    <col min="1" max="4" width="10.6640625" style="1" customWidth="1"/>
    <col min="5" max="6" width="11.6640625" style="1" customWidth="1"/>
    <col min="7" max="7" width="10.6640625" style="197" customWidth="1"/>
    <col min="8" max="8" width="10.6640625" style="1" customWidth="1"/>
    <col min="9" max="9" width="11.6640625" style="1" customWidth="1"/>
    <col min="10" max="16384" width="8.83203125" style="1"/>
  </cols>
  <sheetData>
    <row r="1" spans="1:12" ht="15">
      <c r="A1" s="124" t="s">
        <v>41</v>
      </c>
      <c r="B1" s="124"/>
      <c r="C1" s="121"/>
      <c r="D1" s="133"/>
      <c r="E1" s="124" t="s">
        <v>90</v>
      </c>
      <c r="F1" s="134"/>
      <c r="G1" s="168"/>
      <c r="H1" s="135"/>
      <c r="I1" s="136"/>
      <c r="J1" s="137"/>
      <c r="K1" s="5"/>
      <c r="L1" s="111"/>
    </row>
    <row r="2" spans="1:12" ht="15">
      <c r="A2" s="124"/>
      <c r="B2" s="124"/>
      <c r="C2" s="121"/>
      <c r="D2" s="133"/>
      <c r="E2" s="134"/>
      <c r="F2" s="134"/>
      <c r="G2" s="168"/>
      <c r="H2" s="135"/>
      <c r="I2" s="137"/>
      <c r="J2" s="137"/>
      <c r="K2" s="5"/>
      <c r="L2" s="111"/>
    </row>
    <row r="3" spans="1:12" ht="15">
      <c r="A3" s="138" t="s">
        <v>42</v>
      </c>
      <c r="B3" s="139"/>
      <c r="C3" s="121"/>
      <c r="D3" s="133"/>
      <c r="E3" s="248" t="s">
        <v>89</v>
      </c>
      <c r="F3" s="248"/>
      <c r="G3" s="169" t="str">
        <f>IF(OR(A10="Q",A10="R"),100*4.4*(B4-3)/10*(B7+1)/(2*B7),IF(A10="C",100*4.4*(B4-3)/10*(B9+1)/(2*B9),""))</f>
        <v/>
      </c>
      <c r="H3" s="135"/>
      <c r="I3" s="140"/>
      <c r="J3" s="141"/>
      <c r="K3" s="6"/>
      <c r="L3" s="111"/>
    </row>
    <row r="4" spans="1:12" ht="17">
      <c r="A4" s="142" t="s">
        <v>96</v>
      </c>
      <c r="B4" s="143">
        <v>0</v>
      </c>
      <c r="C4" s="121"/>
      <c r="D4" s="133"/>
      <c r="E4" s="248" t="s">
        <v>86</v>
      </c>
      <c r="F4" s="248"/>
      <c r="G4" s="169" t="str">
        <f>IF(OR(A10="Q",A10="R"),(10*B4*B13/12)*((B7+1)/B7)^2,IF(A10="C",B4*B13/12*(B9+1/B9)^2,""))</f>
        <v/>
      </c>
      <c r="H4" s="135"/>
      <c r="I4" s="144"/>
      <c r="J4" s="144"/>
      <c r="K4" s="112"/>
      <c r="L4" s="111"/>
    </row>
    <row r="5" spans="1:12" ht="15">
      <c r="A5" s="145"/>
      <c r="B5" s="146"/>
      <c r="C5" s="121"/>
      <c r="D5" s="133"/>
      <c r="E5" s="147" t="s">
        <v>87</v>
      </c>
      <c r="F5" s="147"/>
      <c r="G5" s="169" t="str">
        <f>IF(OR(A10="Q",A10="R"),50+(1+0.4*B7)*B4*10,IF(A10="C",50+(1+0.4*B9)*B4*10,""))</f>
        <v/>
      </c>
      <c r="H5" s="135"/>
      <c r="I5" s="135"/>
      <c r="J5" s="135"/>
    </row>
    <row r="6" spans="1:12" ht="15">
      <c r="A6" s="138" t="s">
        <v>51</v>
      </c>
      <c r="B6" s="146"/>
      <c r="C6" s="121"/>
      <c r="D6" s="133"/>
      <c r="E6" s="121"/>
      <c r="F6" s="121"/>
      <c r="G6" s="167"/>
      <c r="H6" s="135"/>
      <c r="I6" s="135"/>
      <c r="J6" s="135"/>
    </row>
    <row r="7" spans="1:12" ht="15">
      <c r="A7" s="142" t="s">
        <v>52</v>
      </c>
      <c r="B7" s="148">
        <v>0</v>
      </c>
      <c r="C7" s="121" t="s">
        <v>50</v>
      </c>
      <c r="D7" s="133"/>
      <c r="E7" s="133"/>
      <c r="F7" s="133"/>
      <c r="G7" s="196"/>
      <c r="H7" s="135"/>
      <c r="I7" s="135"/>
      <c r="J7" s="135"/>
    </row>
    <row r="8" spans="1:12" ht="15">
      <c r="A8" s="142" t="s">
        <v>53</v>
      </c>
      <c r="B8" s="148">
        <v>0</v>
      </c>
      <c r="C8" s="121" t="s">
        <v>50</v>
      </c>
      <c r="D8" s="133"/>
      <c r="E8" s="133"/>
      <c r="F8" s="133"/>
      <c r="G8" s="196"/>
      <c r="H8" s="135"/>
      <c r="I8" s="135"/>
      <c r="J8" s="135"/>
    </row>
    <row r="9" spans="1:12" ht="15">
      <c r="A9" s="142" t="s">
        <v>54</v>
      </c>
      <c r="B9" s="148">
        <v>0</v>
      </c>
      <c r="C9" s="121" t="s">
        <v>50</v>
      </c>
      <c r="D9" s="133"/>
      <c r="E9" s="133"/>
      <c r="F9" s="133"/>
      <c r="G9" s="196"/>
      <c r="H9" s="135"/>
      <c r="I9" s="135"/>
      <c r="J9" s="135"/>
    </row>
    <row r="10" spans="1:12" ht="15">
      <c r="A10" s="247" t="str">
        <f>IF(AND(B7=B8,B7&gt;0,B8&gt;0),"Q",(IF(AND(B7&lt;&gt;B8,B9=0),"R",(IF(AND(B9&lt;&gt;0,B7=0,B8=0),"C","VERIFICAR DIMENSÕES")))))</f>
        <v>VERIFICAR DIMENSÕES</v>
      </c>
      <c r="B10" s="247"/>
      <c r="C10" s="133"/>
      <c r="D10" s="133"/>
      <c r="E10" s="133"/>
      <c r="F10" s="133"/>
      <c r="G10" s="196"/>
      <c r="H10" s="135"/>
      <c r="I10" s="135"/>
      <c r="J10" s="135"/>
    </row>
    <row r="11" spans="1:12" ht="15">
      <c r="A11" s="133"/>
      <c r="B11" s="133"/>
      <c r="C11" s="133"/>
      <c r="D11" s="133"/>
      <c r="E11" s="133"/>
      <c r="F11" s="133"/>
      <c r="G11" s="196"/>
      <c r="H11" s="135"/>
      <c r="I11" s="135"/>
      <c r="J11" s="135"/>
    </row>
    <row r="12" spans="1:12" ht="15">
      <c r="A12" s="138" t="s">
        <v>55</v>
      </c>
      <c r="B12" s="139"/>
      <c r="C12" s="133"/>
      <c r="D12" s="133"/>
      <c r="E12" s="133"/>
      <c r="F12" s="133"/>
      <c r="G12" s="196"/>
      <c r="H12" s="135"/>
      <c r="I12" s="135"/>
      <c r="J12" s="135"/>
    </row>
    <row r="13" spans="1:12" ht="17">
      <c r="A13" s="142" t="s">
        <v>97</v>
      </c>
      <c r="B13" s="143">
        <v>25</v>
      </c>
      <c r="C13" s="133" t="s">
        <v>88</v>
      </c>
      <c r="D13" s="133"/>
      <c r="E13" s="133"/>
      <c r="F13" s="133"/>
      <c r="G13" s="196"/>
      <c r="H13" s="135"/>
      <c r="I13" s="135"/>
      <c r="J13" s="135"/>
    </row>
    <row r="14" spans="1:12" ht="15">
      <c r="A14" s="133"/>
      <c r="B14" s="133"/>
      <c r="C14" s="133"/>
      <c r="D14" s="133"/>
      <c r="E14" s="133"/>
      <c r="F14" s="133"/>
      <c r="G14" s="196"/>
      <c r="H14" s="135"/>
      <c r="I14" s="135"/>
      <c r="J14" s="135"/>
    </row>
    <row r="15" spans="1:12">
      <c r="A15" s="135"/>
      <c r="B15" s="135"/>
      <c r="C15" s="135"/>
      <c r="D15" s="135"/>
      <c r="E15" s="135"/>
      <c r="F15" s="135"/>
      <c r="H15" s="135"/>
      <c r="I15" s="135"/>
      <c r="J15" s="135"/>
    </row>
    <row r="16" spans="1:12">
      <c r="A16" s="135"/>
      <c r="B16" s="135"/>
      <c r="C16" s="135"/>
      <c r="D16" s="135"/>
      <c r="E16" s="135"/>
      <c r="F16" s="135"/>
      <c r="H16" s="135"/>
      <c r="I16" s="135"/>
      <c r="J16" s="135"/>
    </row>
    <row r="17" spans="1:10">
      <c r="A17" s="135"/>
      <c r="B17" s="135"/>
      <c r="C17" s="135"/>
      <c r="D17" s="135"/>
      <c r="E17" s="135"/>
      <c r="F17" s="135"/>
      <c r="H17" s="135"/>
      <c r="I17" s="135"/>
      <c r="J17" s="135"/>
    </row>
    <row r="18" spans="1:10">
      <c r="A18" s="135"/>
      <c r="B18" s="135"/>
      <c r="C18" s="135"/>
      <c r="D18" s="135"/>
      <c r="E18" s="135"/>
      <c r="F18" s="135"/>
      <c r="H18" s="135"/>
      <c r="I18" s="135"/>
      <c r="J18" s="135"/>
    </row>
    <row r="19" spans="1:10">
      <c r="A19" s="135"/>
      <c r="B19" s="135"/>
      <c r="C19" s="135"/>
      <c r="D19" s="135"/>
      <c r="E19" s="135"/>
      <c r="F19" s="135"/>
      <c r="H19" s="135"/>
      <c r="I19" s="135"/>
      <c r="J19" s="135"/>
    </row>
    <row r="20" spans="1:10">
      <c r="A20" s="135"/>
      <c r="B20" s="135"/>
      <c r="C20" s="135"/>
      <c r="D20" s="135"/>
      <c r="E20" s="135"/>
      <c r="F20" s="135"/>
      <c r="H20" s="135"/>
      <c r="I20" s="135"/>
      <c r="J20" s="135"/>
    </row>
    <row r="21" spans="1:10">
      <c r="A21" s="135"/>
      <c r="B21" s="135"/>
      <c r="C21" s="135"/>
      <c r="D21" s="135"/>
      <c r="E21" s="135"/>
      <c r="F21" s="135"/>
      <c r="H21" s="135"/>
      <c r="I21" s="135"/>
      <c r="J21" s="135"/>
    </row>
    <row r="22" spans="1:10">
      <c r="A22" s="135"/>
      <c r="B22" s="135"/>
      <c r="C22" s="135"/>
      <c r="D22" s="135"/>
      <c r="E22" s="135"/>
      <c r="F22" s="135"/>
      <c r="H22" s="135"/>
      <c r="I22" s="135"/>
      <c r="J22" s="135"/>
    </row>
    <row r="23" spans="1:10">
      <c r="A23" s="135"/>
      <c r="B23" s="135"/>
      <c r="C23" s="135"/>
      <c r="D23" s="135"/>
      <c r="E23" s="135"/>
      <c r="F23" s="135"/>
      <c r="H23" s="135"/>
      <c r="I23" s="135"/>
      <c r="J23" s="135"/>
    </row>
    <row r="24" spans="1:10">
      <c r="A24" s="135"/>
      <c r="B24" s="135"/>
      <c r="C24" s="135"/>
      <c r="D24" s="135"/>
      <c r="E24" s="135"/>
      <c r="F24" s="135"/>
      <c r="H24" s="135"/>
      <c r="I24" s="135"/>
      <c r="J24" s="135"/>
    </row>
    <row r="25" spans="1:10">
      <c r="A25" s="135"/>
      <c r="B25" s="135"/>
      <c r="C25" s="135"/>
      <c r="D25" s="135"/>
      <c r="E25" s="135"/>
      <c r="F25" s="135"/>
      <c r="H25" s="135"/>
      <c r="I25" s="135"/>
      <c r="J25" s="135"/>
    </row>
  </sheetData>
  <sheetProtection password="F16F" sheet="1" objects="1" scenarios="1"/>
  <mergeCells count="3">
    <mergeCell ref="A10:B10"/>
    <mergeCell ref="E3:F3"/>
    <mergeCell ref="E4:F4"/>
  </mergeCells>
  <pageMargins left="0.511811024" right="0.511811024" top="0.78740157499999996" bottom="0.78740157499999996" header="0.31496062000000002" footer="0.31496062000000002"/>
  <pageSetup orientation="portrait" horizontalDpi="4294967294" verticalDpi="4294967294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31"/>
  <sheetViews>
    <sheetView workbookViewId="0"/>
  </sheetViews>
  <sheetFormatPr baseColWidth="10" defaultColWidth="8.83203125" defaultRowHeight="12" x14ac:dyDescent="0"/>
  <cols>
    <col min="1" max="13" width="9.6640625" style="3" customWidth="1"/>
    <col min="14" max="14" width="11.83203125" style="3" customWidth="1"/>
    <col min="15" max="19" width="8.83203125" style="3"/>
    <col min="20" max="20" width="9.33203125" style="3" customWidth="1"/>
    <col min="21" max="16384" width="8.83203125" style="3"/>
  </cols>
  <sheetData>
    <row r="1" spans="1:22" ht="15">
      <c r="A1" s="120" t="s">
        <v>77</v>
      </c>
      <c r="B1" s="121"/>
      <c r="C1" s="121"/>
      <c r="D1" s="122"/>
      <c r="E1" s="122"/>
      <c r="F1" s="122"/>
      <c r="G1" s="122"/>
      <c r="H1" s="122"/>
      <c r="I1" s="122"/>
      <c r="J1" s="122"/>
      <c r="K1" s="120" t="s">
        <v>108</v>
      </c>
      <c r="L1" s="121"/>
      <c r="M1" s="121"/>
      <c r="N1" s="121"/>
      <c r="O1" s="123"/>
      <c r="P1" s="120" t="s">
        <v>46</v>
      </c>
      <c r="Q1" s="121"/>
      <c r="R1" s="124" t="s">
        <v>109</v>
      </c>
      <c r="S1" s="121"/>
      <c r="T1" s="121"/>
      <c r="U1" s="132">
        <f>O1/2</f>
        <v>0</v>
      </c>
      <c r="V1" s="120"/>
    </row>
    <row r="2" spans="1:22" ht="15">
      <c r="A2" s="121"/>
      <c r="B2" s="121"/>
      <c r="C2" s="121"/>
      <c r="D2" s="122"/>
      <c r="E2" s="122"/>
      <c r="F2" s="122"/>
      <c r="G2" s="122"/>
      <c r="H2" s="122"/>
      <c r="I2" s="122"/>
      <c r="J2" s="122"/>
      <c r="K2" s="121"/>
      <c r="L2" s="121"/>
      <c r="M2" s="121"/>
      <c r="N2" s="121"/>
      <c r="O2" s="122"/>
      <c r="P2" s="122"/>
      <c r="Q2" s="122"/>
      <c r="R2" s="122"/>
      <c r="S2" s="122"/>
      <c r="T2" s="122"/>
      <c r="U2" s="122"/>
      <c r="V2" s="122"/>
    </row>
    <row r="3" spans="1:22" ht="17">
      <c r="A3" s="249" t="s">
        <v>123</v>
      </c>
      <c r="B3" s="249" t="s">
        <v>76</v>
      </c>
      <c r="C3" s="251" t="s">
        <v>107</v>
      </c>
      <c r="D3" s="122"/>
      <c r="E3" s="122"/>
      <c r="F3" s="122"/>
      <c r="G3" s="122"/>
      <c r="H3" s="122"/>
      <c r="I3" s="122"/>
      <c r="J3" s="122"/>
      <c r="K3" s="253" t="s">
        <v>124</v>
      </c>
      <c r="L3" s="253"/>
      <c r="M3" s="253"/>
      <c r="N3" s="251" t="s">
        <v>98</v>
      </c>
      <c r="O3" s="122"/>
      <c r="P3" s="122"/>
      <c r="Q3" s="122"/>
      <c r="R3" s="122"/>
      <c r="S3" s="122"/>
      <c r="T3" s="122"/>
      <c r="U3" s="122"/>
      <c r="V3" s="122"/>
    </row>
    <row r="4" spans="1:22" ht="15">
      <c r="A4" s="250"/>
      <c r="B4" s="250"/>
      <c r="C4" s="252"/>
      <c r="D4" s="122"/>
      <c r="E4" s="122"/>
      <c r="F4" s="122"/>
      <c r="G4" s="122"/>
      <c r="H4" s="122"/>
      <c r="I4" s="122"/>
      <c r="J4" s="122"/>
      <c r="K4" s="125">
        <v>550</v>
      </c>
      <c r="L4" s="125">
        <v>625</v>
      </c>
      <c r="M4" s="125">
        <v>650</v>
      </c>
      <c r="N4" s="252"/>
      <c r="O4" s="122"/>
      <c r="P4" s="122"/>
      <c r="Q4" s="122"/>
      <c r="R4" s="122"/>
      <c r="S4" s="122"/>
      <c r="T4" s="122"/>
      <c r="U4" s="122"/>
      <c r="V4" s="122"/>
    </row>
    <row r="5" spans="1:22" ht="15">
      <c r="A5" s="126">
        <v>0</v>
      </c>
      <c r="B5" s="127">
        <v>0</v>
      </c>
      <c r="C5" s="130" t="str">
        <f>IF(A5=0,"",IF($O$1=0,"",-LN(1-A5/$O$1)))</f>
        <v/>
      </c>
      <c r="D5" s="122"/>
      <c r="E5" s="122"/>
      <c r="F5" s="122"/>
      <c r="G5" s="122"/>
      <c r="H5" s="122"/>
      <c r="I5" s="122"/>
      <c r="J5" s="122"/>
      <c r="K5" s="198">
        <f t="shared" ref="K5:K14" si="0">-LN(1-A5/$K$4)</f>
        <v>0</v>
      </c>
      <c r="L5" s="198">
        <f t="shared" ref="L5:L15" si="1">-LN(1-A5/$L$4)</f>
        <v>0</v>
      </c>
      <c r="M5" s="198">
        <f t="shared" ref="M5:M15" si="2">-LN(1-A5/$M$4)</f>
        <v>0</v>
      </c>
      <c r="N5" s="131">
        <f t="shared" ref="N5:N15" si="3">B5*1000</f>
        <v>0</v>
      </c>
      <c r="O5" s="122"/>
      <c r="P5" s="122"/>
      <c r="Q5" s="122"/>
      <c r="R5" s="122"/>
      <c r="S5" s="122"/>
      <c r="T5" s="122"/>
      <c r="U5" s="122"/>
      <c r="V5" s="122"/>
    </row>
    <row r="6" spans="1:22" ht="15">
      <c r="A6" s="126">
        <v>0</v>
      </c>
      <c r="B6" s="127">
        <v>0</v>
      </c>
      <c r="C6" s="130" t="str">
        <f t="shared" ref="C6:C20" si="4">IF(A6=0,"",IF($O$1=0,"",-LN(1-A6/$O$1)))</f>
        <v/>
      </c>
      <c r="D6" s="122"/>
      <c r="E6" s="122"/>
      <c r="F6" s="122"/>
      <c r="G6" s="122"/>
      <c r="H6" s="122"/>
      <c r="I6" s="122"/>
      <c r="J6" s="122"/>
      <c r="K6" s="198">
        <f t="shared" si="0"/>
        <v>0</v>
      </c>
      <c r="L6" s="198">
        <f t="shared" si="1"/>
        <v>0</v>
      </c>
      <c r="M6" s="198">
        <f t="shared" si="2"/>
        <v>0</v>
      </c>
      <c r="N6" s="131">
        <f t="shared" si="3"/>
        <v>0</v>
      </c>
      <c r="O6" s="122"/>
      <c r="P6" s="122"/>
      <c r="Q6" s="122"/>
      <c r="R6" s="122"/>
      <c r="S6" s="122"/>
      <c r="T6" s="122"/>
      <c r="U6" s="122"/>
      <c r="V6" s="122"/>
    </row>
    <row r="7" spans="1:22" ht="15">
      <c r="A7" s="126">
        <v>0</v>
      </c>
      <c r="B7" s="127">
        <v>0</v>
      </c>
      <c r="C7" s="130" t="str">
        <f t="shared" si="4"/>
        <v/>
      </c>
      <c r="D7" s="122"/>
      <c r="E7" s="122"/>
      <c r="F7" s="122"/>
      <c r="G7" s="122"/>
      <c r="H7" s="122"/>
      <c r="I7" s="122"/>
      <c r="J7" s="122"/>
      <c r="K7" s="198">
        <f t="shared" si="0"/>
        <v>0</v>
      </c>
      <c r="L7" s="198">
        <f t="shared" si="1"/>
        <v>0</v>
      </c>
      <c r="M7" s="198">
        <f t="shared" si="2"/>
        <v>0</v>
      </c>
      <c r="N7" s="131">
        <f t="shared" si="3"/>
        <v>0</v>
      </c>
      <c r="O7" s="122"/>
      <c r="P7" s="122"/>
      <c r="Q7" s="122"/>
      <c r="R7" s="122"/>
      <c r="S7" s="122"/>
      <c r="T7" s="122"/>
      <c r="U7" s="122"/>
      <c r="V7" s="122"/>
    </row>
    <row r="8" spans="1:22" ht="15">
      <c r="A8" s="126">
        <v>0</v>
      </c>
      <c r="B8" s="127">
        <v>0</v>
      </c>
      <c r="C8" s="130" t="str">
        <f t="shared" si="4"/>
        <v/>
      </c>
      <c r="D8" s="122"/>
      <c r="E8" s="122"/>
      <c r="F8" s="122"/>
      <c r="G8" s="122"/>
      <c r="H8" s="122"/>
      <c r="I8" s="122"/>
      <c r="J8" s="122"/>
      <c r="K8" s="198">
        <f t="shared" si="0"/>
        <v>0</v>
      </c>
      <c r="L8" s="198">
        <f t="shared" si="1"/>
        <v>0</v>
      </c>
      <c r="M8" s="198">
        <f t="shared" si="2"/>
        <v>0</v>
      </c>
      <c r="N8" s="131">
        <f t="shared" si="3"/>
        <v>0</v>
      </c>
      <c r="O8" s="122"/>
      <c r="P8" s="122"/>
      <c r="Q8" s="122"/>
      <c r="R8" s="122"/>
      <c r="S8" s="122"/>
      <c r="T8" s="122"/>
      <c r="U8" s="122"/>
      <c r="V8" s="122"/>
    </row>
    <row r="9" spans="1:22" ht="15">
      <c r="A9" s="126">
        <v>0</v>
      </c>
      <c r="B9" s="127">
        <v>0</v>
      </c>
      <c r="C9" s="130" t="str">
        <f t="shared" si="4"/>
        <v/>
      </c>
      <c r="D9" s="122"/>
      <c r="E9" s="122"/>
      <c r="F9" s="122"/>
      <c r="G9" s="122"/>
      <c r="H9" s="122"/>
      <c r="I9" s="122"/>
      <c r="J9" s="122"/>
      <c r="K9" s="198">
        <f t="shared" si="0"/>
        <v>0</v>
      </c>
      <c r="L9" s="198">
        <f t="shared" si="1"/>
        <v>0</v>
      </c>
      <c r="M9" s="198">
        <f t="shared" si="2"/>
        <v>0</v>
      </c>
      <c r="N9" s="131">
        <f t="shared" si="3"/>
        <v>0</v>
      </c>
      <c r="O9" s="122"/>
      <c r="P9" s="122"/>
      <c r="Q9" s="122"/>
      <c r="R9" s="122"/>
      <c r="S9" s="122"/>
      <c r="T9" s="122"/>
      <c r="U9" s="122"/>
      <c r="V9" s="122"/>
    </row>
    <row r="10" spans="1:22" ht="15">
      <c r="A10" s="126">
        <v>0</v>
      </c>
      <c r="B10" s="127">
        <v>0</v>
      </c>
      <c r="C10" s="130" t="str">
        <f t="shared" si="4"/>
        <v/>
      </c>
      <c r="D10" s="122"/>
      <c r="E10" s="122"/>
      <c r="F10" s="122"/>
      <c r="G10" s="122"/>
      <c r="H10" s="122"/>
      <c r="I10" s="122"/>
      <c r="J10" s="122"/>
      <c r="K10" s="198">
        <f t="shared" si="0"/>
        <v>0</v>
      </c>
      <c r="L10" s="198">
        <f t="shared" si="1"/>
        <v>0</v>
      </c>
      <c r="M10" s="198">
        <f t="shared" si="2"/>
        <v>0</v>
      </c>
      <c r="N10" s="131">
        <f t="shared" si="3"/>
        <v>0</v>
      </c>
      <c r="O10" s="122"/>
      <c r="P10" s="122"/>
      <c r="Q10" s="122"/>
      <c r="R10" s="122"/>
      <c r="S10" s="122"/>
      <c r="T10" s="122"/>
      <c r="U10" s="122"/>
      <c r="V10" s="122"/>
    </row>
    <row r="11" spans="1:22" ht="15">
      <c r="A11" s="126">
        <v>0</v>
      </c>
      <c r="B11" s="127">
        <v>0</v>
      </c>
      <c r="C11" s="130" t="str">
        <f t="shared" si="4"/>
        <v/>
      </c>
      <c r="D11" s="122"/>
      <c r="E11" s="122"/>
      <c r="F11" s="122"/>
      <c r="G11" s="122"/>
      <c r="H11" s="122"/>
      <c r="I11" s="122"/>
      <c r="J11" s="122"/>
      <c r="K11" s="198">
        <f t="shared" si="0"/>
        <v>0</v>
      </c>
      <c r="L11" s="198">
        <f t="shared" si="1"/>
        <v>0</v>
      </c>
      <c r="M11" s="198">
        <f t="shared" si="2"/>
        <v>0</v>
      </c>
      <c r="N11" s="131">
        <f t="shared" si="3"/>
        <v>0</v>
      </c>
      <c r="O11" s="122"/>
      <c r="P11" s="122"/>
      <c r="Q11" s="122"/>
      <c r="R11" s="122"/>
      <c r="S11" s="122"/>
      <c r="T11" s="122"/>
      <c r="U11" s="122"/>
      <c r="V11" s="122"/>
    </row>
    <row r="12" spans="1:22" ht="15">
      <c r="A12" s="126">
        <v>0</v>
      </c>
      <c r="B12" s="127">
        <v>0</v>
      </c>
      <c r="C12" s="130" t="str">
        <f t="shared" si="4"/>
        <v/>
      </c>
      <c r="D12" s="122"/>
      <c r="E12" s="122"/>
      <c r="F12" s="122"/>
      <c r="G12" s="122"/>
      <c r="H12" s="122"/>
      <c r="I12" s="122"/>
      <c r="J12" s="122"/>
      <c r="K12" s="198">
        <f t="shared" si="0"/>
        <v>0</v>
      </c>
      <c r="L12" s="198">
        <f t="shared" si="1"/>
        <v>0</v>
      </c>
      <c r="M12" s="198">
        <f t="shared" si="2"/>
        <v>0</v>
      </c>
      <c r="N12" s="131">
        <f t="shared" si="3"/>
        <v>0</v>
      </c>
      <c r="O12" s="122"/>
      <c r="P12" s="122"/>
      <c r="Q12" s="122"/>
      <c r="R12" s="122"/>
      <c r="S12" s="122"/>
      <c r="T12" s="122"/>
      <c r="U12" s="122"/>
      <c r="V12" s="122"/>
    </row>
    <row r="13" spans="1:22" ht="15">
      <c r="A13" s="126">
        <v>0</v>
      </c>
      <c r="B13" s="127">
        <v>0</v>
      </c>
      <c r="C13" s="130" t="str">
        <f t="shared" si="4"/>
        <v/>
      </c>
      <c r="D13" s="122"/>
      <c r="E13" s="122"/>
      <c r="F13" s="122"/>
      <c r="G13" s="122"/>
      <c r="H13" s="122"/>
      <c r="I13" s="122"/>
      <c r="J13" s="122"/>
      <c r="K13" s="198">
        <f t="shared" si="0"/>
        <v>0</v>
      </c>
      <c r="L13" s="198">
        <f t="shared" si="1"/>
        <v>0</v>
      </c>
      <c r="M13" s="198">
        <f t="shared" si="2"/>
        <v>0</v>
      </c>
      <c r="N13" s="131">
        <f t="shared" si="3"/>
        <v>0</v>
      </c>
      <c r="O13" s="122"/>
      <c r="P13" s="122"/>
      <c r="Q13" s="122"/>
      <c r="R13" s="122"/>
      <c r="S13" s="122"/>
      <c r="T13" s="122"/>
      <c r="U13" s="122"/>
      <c r="V13" s="122"/>
    </row>
    <row r="14" spans="1:22" ht="15">
      <c r="A14" s="126">
        <v>0</v>
      </c>
      <c r="B14" s="127">
        <v>0</v>
      </c>
      <c r="C14" s="130" t="str">
        <f t="shared" si="4"/>
        <v/>
      </c>
      <c r="D14" s="122"/>
      <c r="E14" s="122"/>
      <c r="F14" s="122"/>
      <c r="G14" s="122"/>
      <c r="H14" s="122"/>
      <c r="I14" s="122"/>
      <c r="J14" s="122"/>
      <c r="K14" s="198">
        <f t="shared" si="0"/>
        <v>0</v>
      </c>
      <c r="L14" s="198">
        <f t="shared" si="1"/>
        <v>0</v>
      </c>
      <c r="M14" s="198">
        <f t="shared" si="2"/>
        <v>0</v>
      </c>
      <c r="N14" s="131">
        <f t="shared" si="3"/>
        <v>0</v>
      </c>
      <c r="O14" s="122"/>
      <c r="P14" s="122"/>
      <c r="Q14" s="122"/>
      <c r="R14" s="122"/>
      <c r="S14" s="122"/>
      <c r="T14" s="122"/>
      <c r="U14" s="122"/>
      <c r="V14" s="122"/>
    </row>
    <row r="15" spans="1:22" ht="15">
      <c r="A15" s="126">
        <v>0</v>
      </c>
      <c r="B15" s="127">
        <v>0</v>
      </c>
      <c r="C15" s="130" t="str">
        <f t="shared" si="4"/>
        <v/>
      </c>
      <c r="D15" s="122"/>
      <c r="E15" s="122"/>
      <c r="F15" s="122"/>
      <c r="G15" s="122"/>
      <c r="H15" s="122"/>
      <c r="I15" s="122"/>
      <c r="J15" s="122"/>
      <c r="K15" s="198">
        <f>-LN(1-A15/$K$4)</f>
        <v>0</v>
      </c>
      <c r="L15" s="198">
        <f t="shared" si="1"/>
        <v>0</v>
      </c>
      <c r="M15" s="198">
        <f t="shared" si="2"/>
        <v>0</v>
      </c>
      <c r="N15" s="131">
        <f t="shared" si="3"/>
        <v>0</v>
      </c>
      <c r="O15" s="122"/>
      <c r="P15" s="122"/>
      <c r="Q15" s="122"/>
      <c r="R15" s="122"/>
      <c r="S15" s="122"/>
      <c r="T15" s="122"/>
      <c r="U15" s="122"/>
      <c r="V15" s="122"/>
    </row>
    <row r="16" spans="1:22" ht="15">
      <c r="A16" s="126">
        <v>0</v>
      </c>
      <c r="B16" s="127">
        <v>0</v>
      </c>
      <c r="C16" s="130" t="str">
        <f t="shared" si="4"/>
        <v/>
      </c>
      <c r="D16" s="122"/>
      <c r="E16" s="122"/>
      <c r="F16" s="122"/>
      <c r="G16" s="122"/>
      <c r="H16" s="122"/>
      <c r="I16" s="122"/>
      <c r="J16" s="122"/>
      <c r="K16" s="128"/>
      <c r="L16" s="128"/>
      <c r="M16" s="128"/>
      <c r="N16" s="129"/>
      <c r="O16" s="122"/>
      <c r="P16" s="122"/>
      <c r="Q16" s="122"/>
      <c r="R16" s="122"/>
      <c r="S16" s="122"/>
      <c r="T16" s="122"/>
      <c r="U16" s="122"/>
      <c r="V16" s="122"/>
    </row>
    <row r="17" spans="1:22" ht="15">
      <c r="A17" s="126">
        <v>0</v>
      </c>
      <c r="B17" s="127">
        <v>0</v>
      </c>
      <c r="C17" s="130" t="str">
        <f t="shared" si="4"/>
        <v/>
      </c>
      <c r="D17" s="122"/>
      <c r="E17" s="122"/>
      <c r="F17" s="122"/>
      <c r="G17" s="122"/>
      <c r="H17" s="122"/>
      <c r="I17" s="122"/>
      <c r="J17" s="122"/>
      <c r="K17" s="128"/>
      <c r="L17" s="128"/>
      <c r="M17" s="128"/>
      <c r="N17" s="129"/>
      <c r="O17" s="122"/>
      <c r="P17" s="122"/>
      <c r="Q17" s="122"/>
      <c r="R17" s="122"/>
      <c r="S17" s="122"/>
      <c r="T17" s="122"/>
      <c r="U17" s="122"/>
      <c r="V17" s="122"/>
    </row>
    <row r="18" spans="1:22" ht="15">
      <c r="A18" s="126">
        <v>0</v>
      </c>
      <c r="B18" s="127">
        <v>0</v>
      </c>
      <c r="C18" s="130" t="str">
        <f t="shared" si="4"/>
        <v/>
      </c>
      <c r="D18" s="122"/>
      <c r="E18" s="122"/>
      <c r="F18" s="122"/>
      <c r="G18" s="122"/>
      <c r="H18" s="122"/>
      <c r="I18" s="122"/>
      <c r="J18" s="122"/>
      <c r="K18" s="128"/>
      <c r="L18" s="128"/>
      <c r="M18" s="128"/>
      <c r="N18" s="129"/>
      <c r="O18" s="122"/>
      <c r="P18" s="122"/>
      <c r="Q18" s="122"/>
      <c r="R18" s="122"/>
      <c r="S18" s="122"/>
      <c r="T18" s="122"/>
      <c r="U18" s="122"/>
      <c r="V18" s="122"/>
    </row>
    <row r="19" spans="1:22" ht="15">
      <c r="A19" s="126">
        <v>0</v>
      </c>
      <c r="B19" s="127">
        <v>0</v>
      </c>
      <c r="C19" s="130" t="str">
        <f t="shared" si="4"/>
        <v/>
      </c>
      <c r="D19" s="122"/>
      <c r="E19" s="122"/>
      <c r="F19" s="122"/>
      <c r="G19" s="122"/>
      <c r="H19" s="122"/>
      <c r="I19" s="122"/>
      <c r="J19" s="122"/>
      <c r="K19" s="128"/>
      <c r="L19" s="128"/>
      <c r="M19" s="128"/>
      <c r="N19" s="129"/>
      <c r="O19" s="122"/>
      <c r="P19" s="122"/>
      <c r="Q19" s="122"/>
      <c r="R19" s="122"/>
      <c r="S19" s="122"/>
      <c r="T19" s="122"/>
      <c r="U19" s="122"/>
      <c r="V19" s="122"/>
    </row>
    <row r="20" spans="1:22" ht="15">
      <c r="A20" s="126">
        <v>0</v>
      </c>
      <c r="B20" s="127">
        <v>0</v>
      </c>
      <c r="C20" s="130" t="str">
        <f t="shared" si="4"/>
        <v/>
      </c>
      <c r="D20" s="122"/>
      <c r="E20" s="122"/>
      <c r="F20" s="122"/>
      <c r="G20" s="122"/>
      <c r="H20" s="122"/>
      <c r="I20" s="122"/>
      <c r="J20" s="122"/>
      <c r="K20" s="128"/>
      <c r="L20" s="128"/>
      <c r="M20" s="128"/>
      <c r="N20" s="129"/>
      <c r="O20" s="122"/>
      <c r="P20" s="122"/>
      <c r="Q20" s="122"/>
      <c r="R20" s="122"/>
      <c r="S20" s="122"/>
      <c r="T20" s="122"/>
      <c r="U20" s="122"/>
      <c r="V20" s="122"/>
    </row>
    <row r="21" spans="1:22">
      <c r="A21" s="122"/>
      <c r="B21" s="122"/>
      <c r="C21" s="122"/>
      <c r="D21" s="122"/>
      <c r="E21" s="122"/>
      <c r="F21" s="122"/>
      <c r="G21" s="122"/>
      <c r="H21" s="122"/>
      <c r="I21" s="122"/>
      <c r="J21" s="122"/>
      <c r="K21" s="122"/>
      <c r="L21" s="122"/>
      <c r="M21" s="122"/>
      <c r="N21" s="122"/>
      <c r="O21" s="122"/>
      <c r="P21" s="122"/>
      <c r="Q21" s="122"/>
      <c r="R21" s="122"/>
      <c r="S21" s="122"/>
      <c r="T21" s="122"/>
      <c r="U21" s="122"/>
      <c r="V21" s="122"/>
    </row>
    <row r="22" spans="1:22">
      <c r="A22" s="122"/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122"/>
      <c r="V22" s="122"/>
    </row>
    <row r="23" spans="1:22">
      <c r="A23" s="122"/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</row>
    <row r="24" spans="1:22">
      <c r="A24" s="122"/>
      <c r="B24" s="122"/>
      <c r="C24" s="122"/>
      <c r="D24" s="122"/>
      <c r="E24" s="122"/>
      <c r="F24" s="122"/>
      <c r="G24" s="122"/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</row>
    <row r="25" spans="1:22">
      <c r="A25" s="122"/>
      <c r="B25" s="122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</row>
    <row r="26" spans="1:22">
      <c r="A26" s="122"/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</row>
    <row r="27" spans="1:22">
      <c r="A27" s="122"/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</row>
    <row r="28" spans="1:22">
      <c r="A28" s="122"/>
      <c r="B28" s="122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</row>
    <row r="29" spans="1:22">
      <c r="A29" s="122"/>
      <c r="B29" s="122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</row>
    <row r="30" spans="1:22">
      <c r="A30" s="122"/>
      <c r="B30" s="122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</row>
    <row r="31" spans="1:22">
      <c r="A31" s="122"/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</row>
  </sheetData>
  <sheetProtection password="F16F" sheet="1" objects="1" scenarios="1"/>
  <mergeCells count="5">
    <mergeCell ref="A3:A4"/>
    <mergeCell ref="B3:B4"/>
    <mergeCell ref="N3:N4"/>
    <mergeCell ref="K3:M3"/>
    <mergeCell ref="C3:C4"/>
  </mergeCells>
  <pageMargins left="0.511811024" right="0.511811024" top="0.78740157499999996" bottom="0.78740157499999996" header="0.31496062000000002" footer="0.31496062000000002"/>
  <pageSetup paperSize="9" orientation="portrait" horizontalDpi="300" verticalDpi="300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workbookViewId="0">
      <selection activeCell="I10" sqref="I10"/>
    </sheetView>
  </sheetViews>
  <sheetFormatPr baseColWidth="10" defaultColWidth="8.83203125" defaultRowHeight="12" x14ac:dyDescent="0"/>
  <cols>
    <col min="1" max="11" width="11.6640625" style="113" customWidth="1"/>
    <col min="12" max="16384" width="8.83203125" style="113"/>
  </cols>
  <sheetData>
    <row r="1" spans="1:20" ht="15">
      <c r="A1" s="186" t="s">
        <v>78</v>
      </c>
      <c r="B1" s="187"/>
      <c r="C1" s="187"/>
      <c r="D1" s="187"/>
      <c r="E1" s="187"/>
      <c r="F1" s="186" t="s">
        <v>82</v>
      </c>
      <c r="G1" s="187"/>
      <c r="H1" s="187"/>
      <c r="I1" s="187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</row>
    <row r="2" spans="1:20" ht="15">
      <c r="A2" s="187"/>
      <c r="B2" s="187"/>
      <c r="C2" s="187"/>
      <c r="D2" s="187"/>
      <c r="E2" s="187"/>
      <c r="F2" s="187"/>
      <c r="G2" s="187"/>
      <c r="H2" s="187"/>
      <c r="I2" s="187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</row>
    <row r="3" spans="1:20" ht="15">
      <c r="A3" s="251" t="s">
        <v>79</v>
      </c>
      <c r="B3" s="255" t="s">
        <v>14</v>
      </c>
      <c r="C3" s="255"/>
      <c r="D3" s="189" t="str">
        <f>'Met. Teoricos'!L4</f>
        <v/>
      </c>
      <c r="E3" s="187"/>
      <c r="F3" s="251" t="s">
        <v>79</v>
      </c>
      <c r="G3" s="255" t="s">
        <v>14</v>
      </c>
      <c r="H3" s="255"/>
      <c r="I3" s="189" t="e">
        <f>'Met. Teoricos'!L16</f>
        <v>#VALUE!</v>
      </c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</row>
    <row r="4" spans="1:20" ht="15">
      <c r="A4" s="251"/>
      <c r="B4" s="223" t="s">
        <v>85</v>
      </c>
      <c r="C4" s="224"/>
      <c r="D4" s="189" t="str">
        <f>'Met. Teoricos'!L5</f>
        <v/>
      </c>
      <c r="E4" s="187"/>
      <c r="F4" s="251"/>
      <c r="G4" s="223" t="s">
        <v>85</v>
      </c>
      <c r="H4" s="224"/>
      <c r="I4" s="189" t="e">
        <f>'Met. Teoricos'!L17</f>
        <v>#VALUE!</v>
      </c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</row>
    <row r="5" spans="1:20" ht="15">
      <c r="A5" s="251"/>
      <c r="B5" s="255" t="s">
        <v>16</v>
      </c>
      <c r="C5" s="255"/>
      <c r="D5" s="189" t="str">
        <f>'Met. Teoricos'!L6</f>
        <v/>
      </c>
      <c r="E5" s="187"/>
      <c r="F5" s="251"/>
      <c r="G5" s="255" t="s">
        <v>16</v>
      </c>
      <c r="H5" s="255"/>
      <c r="I5" s="189" t="e">
        <f>'Met. Teoricos'!L18</f>
        <v>#VALUE!</v>
      </c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</row>
    <row r="6" spans="1:20" ht="15">
      <c r="A6" s="251"/>
      <c r="B6" s="255" t="s">
        <v>17</v>
      </c>
      <c r="C6" s="255"/>
      <c r="D6" s="189" t="str">
        <f>'Met. Teoricos'!L7</f>
        <v/>
      </c>
      <c r="E6" s="187"/>
      <c r="F6" s="251"/>
      <c r="G6" s="255" t="s">
        <v>17</v>
      </c>
      <c r="H6" s="255"/>
      <c r="I6" s="189" t="e">
        <f>'Met. Teoricos'!L19</f>
        <v>#VALUE!</v>
      </c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</row>
    <row r="7" spans="1:20" ht="15">
      <c r="A7" s="254" t="s">
        <v>81</v>
      </c>
      <c r="B7" s="254"/>
      <c r="C7" s="254"/>
      <c r="D7" s="190">
        <f>'Prova de Carga'!O1</f>
        <v>0</v>
      </c>
      <c r="E7" s="187"/>
      <c r="F7" s="251" t="s">
        <v>80</v>
      </c>
      <c r="G7" s="248" t="s">
        <v>89</v>
      </c>
      <c r="H7" s="248"/>
      <c r="I7" s="189" t="str">
        <f>SemiEmp!G3</f>
        <v/>
      </c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</row>
    <row r="8" spans="1:20" ht="15">
      <c r="A8" s="187"/>
      <c r="B8" s="187"/>
      <c r="C8" s="187"/>
      <c r="D8" s="187"/>
      <c r="E8" s="187"/>
      <c r="F8" s="251"/>
      <c r="G8" s="248" t="s">
        <v>86</v>
      </c>
      <c r="H8" s="248"/>
      <c r="I8" s="189" t="str">
        <f>SemiEmp!G4</f>
        <v/>
      </c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</row>
    <row r="9" spans="1:20" ht="15">
      <c r="A9" s="192">
        <f>D7</f>
        <v>0</v>
      </c>
      <c r="B9" s="192">
        <f>D7</f>
        <v>0</v>
      </c>
      <c r="C9" s="192">
        <f>D7</f>
        <v>0</v>
      </c>
      <c r="D9" s="192">
        <f>D7</f>
        <v>0</v>
      </c>
      <c r="E9" s="187"/>
      <c r="F9" s="251"/>
      <c r="G9" s="147" t="s">
        <v>87</v>
      </c>
      <c r="H9" s="147"/>
      <c r="I9" s="189" t="str">
        <f>SemiEmp!G5</f>
        <v/>
      </c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</row>
    <row r="10" spans="1:20" ht="15">
      <c r="A10" s="187"/>
      <c r="B10" s="187"/>
      <c r="C10" s="187"/>
      <c r="D10" s="187"/>
      <c r="E10" s="187"/>
      <c r="F10" s="254" t="s">
        <v>81</v>
      </c>
      <c r="G10" s="254"/>
      <c r="H10" s="254"/>
      <c r="I10" s="190">
        <f>'Prova de Carga'!U1</f>
        <v>0</v>
      </c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</row>
    <row r="11" spans="1:20">
      <c r="A11" s="188"/>
      <c r="B11" s="188"/>
      <c r="C11" s="188"/>
      <c r="D11" s="188"/>
      <c r="E11" s="188"/>
      <c r="F11" s="191">
        <f>I10</f>
        <v>0</v>
      </c>
      <c r="G11" s="191">
        <f>I10</f>
        <v>0</v>
      </c>
      <c r="H11" s="191">
        <f>I10</f>
        <v>0</v>
      </c>
      <c r="I11" s="191">
        <f>I10</f>
        <v>0</v>
      </c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</row>
    <row r="12" spans="1:20">
      <c r="A12" s="188"/>
      <c r="B12" s="188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</row>
    <row r="13" spans="1:20">
      <c r="A13" s="188"/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</row>
    <row r="14" spans="1:20">
      <c r="A14" s="188"/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</row>
    <row r="15" spans="1:20">
      <c r="A15" s="188"/>
      <c r="B15" s="188"/>
      <c r="C15" s="188"/>
      <c r="D15" s="188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</row>
    <row r="16" spans="1:20">
      <c r="A16" s="188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</row>
    <row r="17" spans="1:20">
      <c r="A17" s="188"/>
      <c r="B17" s="188"/>
      <c r="C17" s="188"/>
      <c r="D17" s="188"/>
      <c r="E17" s="188"/>
      <c r="F17" s="188"/>
      <c r="G17" s="188"/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</row>
    <row r="18" spans="1:20">
      <c r="A18" s="188"/>
      <c r="B18" s="188"/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</row>
    <row r="19" spans="1:20">
      <c r="A19" s="188"/>
      <c r="B19" s="188"/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</row>
    <row r="20" spans="1:20">
      <c r="A20" s="188"/>
      <c r="B20" s="188"/>
      <c r="C20" s="188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</row>
    <row r="21" spans="1:20">
      <c r="A21" s="188"/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</row>
    <row r="22" spans="1:20">
      <c r="A22" s="188"/>
      <c r="B22" s="188"/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</row>
    <row r="23" spans="1:20">
      <c r="A23" s="188"/>
      <c r="B23" s="188"/>
      <c r="C23" s="188"/>
      <c r="D23" s="188"/>
      <c r="E23" s="188"/>
      <c r="F23" s="188"/>
      <c r="G23" s="188"/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</row>
    <row r="24" spans="1:20">
      <c r="A24" s="188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</row>
    <row r="25" spans="1:20">
      <c r="A25" s="188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</row>
    <row r="26" spans="1:20">
      <c r="A26" s="188"/>
      <c r="B26" s="188"/>
      <c r="C26" s="188"/>
      <c r="D26" s="188"/>
      <c r="E26" s="188"/>
      <c r="F26" s="188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</row>
    <row r="27" spans="1:20">
      <c r="A27" s="188"/>
      <c r="B27" s="188"/>
      <c r="C27" s="188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</row>
    <row r="28" spans="1:20">
      <c r="A28" s="188"/>
      <c r="B28" s="188"/>
      <c r="C28" s="188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</row>
    <row r="29" spans="1:20">
      <c r="A29" s="188"/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</row>
    <row r="30" spans="1:20">
      <c r="A30" s="188"/>
      <c r="B30" s="188"/>
      <c r="C30" s="188"/>
      <c r="D30" s="188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</row>
    <row r="31" spans="1:20">
      <c r="A31" s="188"/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</row>
    <row r="32" spans="1:20">
      <c r="A32" s="188"/>
      <c r="B32" s="188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</row>
    <row r="33" spans="1:20">
      <c r="A33" s="188"/>
      <c r="B33" s="188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</row>
    <row r="34" spans="1:20">
      <c r="A34" s="188"/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</row>
    <row r="35" spans="1:20">
      <c r="A35" s="188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</row>
  </sheetData>
  <sheetProtection password="F16F" sheet="1" objects="1" scenarios="1"/>
  <mergeCells count="15">
    <mergeCell ref="A7:C7"/>
    <mergeCell ref="B3:C3"/>
    <mergeCell ref="B4:C4"/>
    <mergeCell ref="B5:C5"/>
    <mergeCell ref="B6:C6"/>
    <mergeCell ref="A3:A6"/>
    <mergeCell ref="F10:H10"/>
    <mergeCell ref="F3:F6"/>
    <mergeCell ref="G3:H3"/>
    <mergeCell ref="G4:H4"/>
    <mergeCell ref="G5:H5"/>
    <mergeCell ref="G6:H6"/>
    <mergeCell ref="F7:F9"/>
    <mergeCell ref="G7:H7"/>
    <mergeCell ref="G8:H8"/>
  </mergeCells>
  <pageMargins left="0.511811024" right="0.511811024" top="0.78740157499999996" bottom="0.78740157499999996" header="0.31496062000000002" footer="0.3149606200000000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Inicio</vt:lpstr>
      <vt:lpstr>Tutorial</vt:lpstr>
      <vt:lpstr>Met. Teoricos</vt:lpstr>
      <vt:lpstr>A</vt:lpstr>
      <vt:lpstr>SemiEmp</vt:lpstr>
      <vt:lpstr>Prova de Carga</vt:lpstr>
      <vt:lpstr>Gráficos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BRUNA OLIVEIRA</cp:lastModifiedBy>
  <dcterms:created xsi:type="dcterms:W3CDTF">2015-05-01T21:17:58Z</dcterms:created>
  <dcterms:modified xsi:type="dcterms:W3CDTF">2015-11-30T19:04:08Z</dcterms:modified>
</cp:coreProperties>
</file>